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19320" windowHeight="1176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'Taul1'!$C$4:$Z$124</definedName>
  </definedNames>
  <calcPr fullCalcOnLoad="1"/>
</workbook>
</file>

<file path=xl/sharedStrings.xml><?xml version="1.0" encoding="utf-8"?>
<sst xmlns="http://schemas.openxmlformats.org/spreadsheetml/2006/main" count="256" uniqueCount="93">
  <si>
    <t>Lohko:</t>
  </si>
  <si>
    <t>Pöytä</t>
  </si>
  <si>
    <t>Päivä:</t>
  </si>
  <si>
    <t>Klo:</t>
  </si>
  <si>
    <t>Nimi</t>
  </si>
  <si>
    <t>Seura</t>
  </si>
  <si>
    <t>1</t>
  </si>
  <si>
    <t>2</t>
  </si>
  <si>
    <t>3</t>
  </si>
  <si>
    <t>4</t>
  </si>
  <si>
    <t>V</t>
  </si>
  <si>
    <t>T</t>
  </si>
  <si>
    <t>Eräsum</t>
  </si>
  <si>
    <t>Sija</t>
  </si>
  <si>
    <t>Pistesum</t>
  </si>
  <si>
    <t>ero</t>
  </si>
  <si>
    <t>tark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</si>
  <si>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</si>
  <si>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</si>
  <si>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</si>
  <si>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</si>
  <si>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</si>
  <si>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</si>
  <si>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</si>
  <si>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</si>
  <si>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</si>
  <si>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</si>
  <si>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2-3</t>
  </si>
  <si>
    <t>1-2</t>
  </si>
  <si>
    <t>3-4</t>
  </si>
  <si>
    <t>5</t>
  </si>
  <si>
    <t>6</t>
  </si>
  <si>
    <t>1-5</t>
  </si>
  <si>
    <t>3-6</t>
  </si>
  <si>
    <t>2-6</t>
  </si>
  <si>
    <t>3-5</t>
  </si>
  <si>
    <t>2-5</t>
  </si>
  <si>
    <t>4-6</t>
  </si>
  <si>
    <t>1-6</t>
  </si>
  <si>
    <t>4-5</t>
  </si>
  <si>
    <t>5-6</t>
  </si>
  <si>
    <t>SPTL TOP-12   ja 1- / 2- karsinnat</t>
  </si>
  <si>
    <t>täytä vain keltaisia ruutuja, muissa voi olla kaavoja</t>
  </si>
  <si>
    <t>A</t>
  </si>
  <si>
    <t>B</t>
  </si>
  <si>
    <t>C</t>
  </si>
  <si>
    <t>sijat 1-6</t>
  </si>
  <si>
    <t>sijat 7-12</t>
  </si>
  <si>
    <t>A1</t>
  </si>
  <si>
    <t>B1</t>
  </si>
  <si>
    <t>C1</t>
  </si>
  <si>
    <t>B2</t>
  </si>
  <si>
    <t>A2</t>
  </si>
  <si>
    <t>C2</t>
  </si>
  <si>
    <t>A3</t>
  </si>
  <si>
    <t>B3</t>
  </si>
  <si>
    <t>C3</t>
  </si>
  <si>
    <t>B4</t>
  </si>
  <si>
    <t>A4</t>
  </si>
  <si>
    <t>C4</t>
  </si>
  <si>
    <t>vaalean siniset jatko-ottelut periytyvät (tallenna pisteet erikseen) alkulohkoista</t>
  </si>
  <si>
    <t>SPTL</t>
  </si>
  <si>
    <t>Loppulliset sijoitukset</t>
  </si>
  <si>
    <t>Alkulohkot</t>
  </si>
  <si>
    <t>TÄYTÄ OTSIKOT VAIN A-LOHKOON</t>
  </si>
  <si>
    <t>ÄLÄ POISTA TAI LISÄÄ SARAKKEITA</t>
  </si>
  <si>
    <t>Taulukko on suojattu ( ei salasanaa)</t>
  </si>
  <si>
    <t xml:space="preserve">Kirjoita vain erien jäännöspisteet( esim. 11-7  = 7 tai  6-11 = -6 ). Jos -0 (miinus nolla), anna tekstimuotoilun etupilkku. </t>
  </si>
  <si>
    <t>11.00</t>
  </si>
  <si>
    <t>Lk</t>
  </si>
  <si>
    <t>versio 21.12.2009 / Asko Kilpi</t>
  </si>
  <si>
    <t>Lopullinen järjestys</t>
  </si>
  <si>
    <t>TOP-12 2-karsinta</t>
  </si>
  <si>
    <t>Mika Rauvola</t>
  </si>
  <si>
    <t>MBF</t>
  </si>
  <si>
    <t>PT Espoo</t>
  </si>
  <si>
    <t>Chau Dinh Huy</t>
  </si>
  <si>
    <t>Tuomas Tiittala</t>
  </si>
  <si>
    <t>Leo Kivelä</t>
  </si>
  <si>
    <t>LPTS</t>
  </si>
  <si>
    <t>Riku Autio</t>
  </si>
  <si>
    <t>KoKa</t>
  </si>
  <si>
    <t>Olli-Ville Halonen</t>
  </si>
  <si>
    <t>KuPTS</t>
  </si>
  <si>
    <t>Kari Saarinen</t>
  </si>
  <si>
    <t>HUT</t>
  </si>
  <si>
    <t>Thomas Lundström</t>
  </si>
  <si>
    <t>Ilkka Härmälä</t>
  </si>
  <si>
    <t>TuKa</t>
  </si>
  <si>
    <t>Marko Holopainen</t>
  </si>
  <si>
    <t>Jarno Lehtonen</t>
  </si>
  <si>
    <t>Matti Lappalainen</t>
  </si>
  <si>
    <t>HP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</si>
</sst>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\.m\.yyyy"/>
    <numFmt numFmtId="173" formatCode="0_)"/>
  </numFmts>
  <fonts count="61">
    <font>
      <sz val="12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sz val="12"/>
      <name val="SWISS"/>
      <family val="0"/>
    </font>
    <font>
      <b/>
      <sz val="12"/>
      <name val="Arial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SWISS"/>
      <family val="0"/>
    </font>
    <font>
      <sz val="11"/>
      <name val="Arial"/>
      <family val="0"/>
    </font>
    <font>
      <b/>
      <sz val="10"/>
      <name val="Arial"/>
      <family val="0"/>
    </font>
    <font>
      <sz val="9"/>
      <color indexed="8"/>
      <name val="SWISS"/>
      <family val="0"/>
    </font>
    <font>
      <b/>
      <sz val="10"/>
      <color indexed="8"/>
      <name val="SWISS"/>
      <family val="0"/>
    </font>
    <font>
      <i/>
      <sz val="8"/>
      <color indexed="8"/>
      <name val="SWISS"/>
      <family val="0"/>
    </font>
    <font>
      <sz val="9"/>
      <name val="SWISS"/>
      <family val="0"/>
    </font>
    <font>
      <i/>
      <sz val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Down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dotted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/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dotted">
        <color indexed="8"/>
      </right>
      <top style="medium"/>
      <bottom style="thin">
        <color indexed="8"/>
      </bottom>
    </border>
    <border>
      <left style="dotted">
        <color indexed="8"/>
      </left>
      <right style="thin"/>
      <top style="medium"/>
      <bottom style="thin">
        <color indexed="8"/>
      </bottom>
    </border>
    <border>
      <left style="thin"/>
      <right style="medium">
        <color indexed="8"/>
      </right>
      <top style="medium"/>
      <bottom style="thin"/>
    </border>
    <border>
      <left style="medium"/>
      <right style="dotted">
        <color indexed="8"/>
      </right>
      <top style="thin">
        <color indexed="8"/>
      </top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medium"/>
    </border>
    <border>
      <left style="dotted">
        <color indexed="8"/>
      </left>
      <right style="thin"/>
      <top style="thin">
        <color indexed="8"/>
      </top>
      <bottom style="medium"/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/>
      <top style="medium"/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173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0" fontId="10" fillId="0" borderId="10" xfId="0" applyFont="1" applyBorder="1" applyAlignment="1">
      <alignment horizontal="center"/>
    </xf>
    <xf numFmtId="173" fontId="8" fillId="0" borderId="11" xfId="55" applyFont="1" applyBorder="1" applyAlignment="1" applyProtection="1">
      <alignment horizontal="right"/>
      <protection/>
    </xf>
    <xf numFmtId="173" fontId="8" fillId="0" borderId="12" xfId="55" applyFont="1" applyBorder="1" applyAlignment="1" applyProtection="1">
      <alignment horizontal="center"/>
      <protection/>
    </xf>
    <xf numFmtId="0" fontId="9" fillId="33" borderId="13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35" borderId="0" xfId="0" applyFont="1" applyFill="1" applyAlignment="1">
      <alignment/>
    </xf>
    <xf numFmtId="0" fontId="9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173" fontId="3" fillId="0" borderId="14" xfId="55" applyFont="1" applyBorder="1" applyProtection="1">
      <alignment/>
      <protection/>
    </xf>
    <xf numFmtId="173" fontId="3" fillId="0" borderId="15" xfId="55" applyFont="1" applyBorder="1" applyProtection="1">
      <alignment/>
      <protection/>
    </xf>
    <xf numFmtId="0" fontId="9" fillId="0" borderId="10" xfId="0" applyFont="1" applyBorder="1" applyAlignment="1">
      <alignment horizontal="center"/>
    </xf>
    <xf numFmtId="173" fontId="3" fillId="0" borderId="16" xfId="55" applyFont="1" applyBorder="1" applyProtection="1">
      <alignment/>
      <protection/>
    </xf>
    <xf numFmtId="173" fontId="3" fillId="0" borderId="17" xfId="55" applyFont="1" applyBorder="1" applyProtection="1">
      <alignment/>
      <protection/>
    </xf>
    <xf numFmtId="0" fontId="0" fillId="0" borderId="18" xfId="0" applyBorder="1" applyAlignment="1">
      <alignment/>
    </xf>
    <xf numFmtId="0" fontId="11" fillId="0" borderId="10" xfId="0" applyFont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9" fillId="35" borderId="19" xfId="0" applyFont="1" applyFill="1" applyBorder="1" applyAlignment="1">
      <alignment/>
    </xf>
    <xf numFmtId="0" fontId="9" fillId="0" borderId="20" xfId="0" applyFont="1" applyBorder="1" applyAlignment="1">
      <alignment/>
    </xf>
    <xf numFmtId="173" fontId="3" fillId="0" borderId="21" xfId="55" applyFont="1" applyBorder="1" applyProtection="1">
      <alignment/>
      <protection/>
    </xf>
    <xf numFmtId="0" fontId="0" fillId="0" borderId="0" xfId="0" applyBorder="1" applyAlignment="1">
      <alignment/>
    </xf>
    <xf numFmtId="0" fontId="9" fillId="35" borderId="22" xfId="0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35" borderId="24" xfId="0" applyFont="1" applyFill="1" applyBorder="1" applyAlignment="1">
      <alignment/>
    </xf>
    <xf numFmtId="0" fontId="9" fillId="0" borderId="25" xfId="0" applyFont="1" applyBorder="1" applyAlignment="1">
      <alignment/>
    </xf>
    <xf numFmtId="173" fontId="4" fillId="0" borderId="0" xfId="55">
      <alignment/>
      <protection/>
    </xf>
    <xf numFmtId="173" fontId="15" fillId="36" borderId="26" xfId="55" applyFont="1" applyFill="1" applyBorder="1" applyAlignment="1" applyProtection="1">
      <alignment horizontal="center"/>
      <protection/>
    </xf>
    <xf numFmtId="173" fontId="15" fillId="36" borderId="27" xfId="55" applyFont="1" applyFill="1" applyBorder="1" applyAlignment="1" applyProtection="1">
      <alignment horizontal="center"/>
      <protection/>
    </xf>
    <xf numFmtId="173" fontId="15" fillId="0" borderId="26" xfId="55" applyFont="1" applyBorder="1" applyProtection="1">
      <alignment/>
      <protection/>
    </xf>
    <xf numFmtId="173" fontId="15" fillId="0" borderId="27" xfId="55" applyFont="1" applyBorder="1" applyProtection="1">
      <alignment/>
      <protection/>
    </xf>
    <xf numFmtId="173" fontId="16" fillId="0" borderId="28" xfId="55" applyFont="1" applyBorder="1" applyAlignment="1" applyProtection="1">
      <alignment/>
      <protection/>
    </xf>
    <xf numFmtId="173" fontId="16" fillId="0" borderId="29" xfId="55" applyFont="1" applyBorder="1" applyAlignment="1" applyProtection="1">
      <alignment/>
      <protection/>
    </xf>
    <xf numFmtId="173" fontId="15" fillId="0" borderId="30" xfId="55" applyFont="1" applyBorder="1" applyProtection="1">
      <alignment/>
      <protection/>
    </xf>
    <xf numFmtId="173" fontId="15" fillId="0" borderId="31" xfId="55" applyFont="1" applyBorder="1" applyProtection="1">
      <alignment/>
      <protection/>
    </xf>
    <xf numFmtId="173" fontId="15" fillId="36" borderId="30" xfId="55" applyFont="1" applyFill="1" applyBorder="1" applyAlignment="1" applyProtection="1">
      <alignment horizontal="center"/>
      <protection/>
    </xf>
    <xf numFmtId="173" fontId="15" fillId="36" borderId="31" xfId="55" applyFont="1" applyFill="1" applyBorder="1" applyAlignment="1" applyProtection="1">
      <alignment horizontal="center"/>
      <protection/>
    </xf>
    <xf numFmtId="173" fontId="15" fillId="36" borderId="16" xfId="55" applyFont="1" applyFill="1" applyBorder="1" applyAlignment="1" applyProtection="1">
      <alignment horizontal="center"/>
      <protection/>
    </xf>
    <xf numFmtId="173" fontId="15" fillId="0" borderId="21" xfId="55" applyFont="1" applyBorder="1" applyProtection="1">
      <alignment/>
      <protection/>
    </xf>
    <xf numFmtId="173" fontId="16" fillId="0" borderId="32" xfId="55" applyFont="1" applyBorder="1" applyAlignment="1" applyProtection="1">
      <alignment/>
      <protection/>
    </xf>
    <xf numFmtId="0" fontId="9" fillId="35" borderId="33" xfId="0" applyFont="1" applyFill="1" applyBorder="1" applyAlignment="1">
      <alignment horizontal="center"/>
    </xf>
    <xf numFmtId="0" fontId="11" fillId="0" borderId="34" xfId="0" applyFont="1" applyBorder="1" applyAlignment="1">
      <alignment/>
    </xf>
    <xf numFmtId="173" fontId="3" fillId="0" borderId="35" xfId="55" applyFont="1" applyBorder="1" applyProtection="1">
      <alignment/>
      <protection/>
    </xf>
    <xf numFmtId="0" fontId="20" fillId="0" borderId="0" xfId="0" applyFont="1" applyAlignment="1">
      <alignment/>
    </xf>
    <xf numFmtId="0" fontId="0" fillId="37" borderId="0" xfId="0" applyFill="1" applyAlignment="1">
      <alignment/>
    </xf>
    <xf numFmtId="0" fontId="21" fillId="38" borderId="0" xfId="0" applyFont="1" applyFill="1" applyAlignment="1">
      <alignment/>
    </xf>
    <xf numFmtId="0" fontId="21" fillId="37" borderId="0" xfId="0" applyFont="1" applyFill="1" applyAlignment="1">
      <alignment/>
    </xf>
    <xf numFmtId="0" fontId="11" fillId="0" borderId="36" xfId="0" applyFont="1" applyBorder="1" applyAlignment="1">
      <alignment/>
    </xf>
    <xf numFmtId="173" fontId="0" fillId="0" borderId="0" xfId="0" applyNumberFormat="1" applyAlignment="1">
      <alignment/>
    </xf>
    <xf numFmtId="0" fontId="22" fillId="0" borderId="0" xfId="0" applyFont="1" applyAlignment="1">
      <alignment/>
    </xf>
    <xf numFmtId="173" fontId="23" fillId="0" borderId="0" xfId="0" applyNumberFormat="1" applyFont="1" applyAlignment="1">
      <alignment/>
    </xf>
    <xf numFmtId="0" fontId="1" fillId="0" borderId="37" xfId="0" applyFont="1" applyBorder="1" applyAlignment="1" applyProtection="1">
      <alignment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4" fillId="0" borderId="40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14" xfId="0" applyFont="1" applyBorder="1" applyAlignment="1" applyProtection="1">
      <alignment horizontal="right"/>
      <protection locked="0"/>
    </xf>
    <xf numFmtId="0" fontId="4" fillId="0" borderId="4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73" fontId="4" fillId="0" borderId="16" xfId="55" applyBorder="1">
      <alignment/>
      <protection/>
    </xf>
    <xf numFmtId="173" fontId="3" fillId="0" borderId="37" xfId="55" applyFont="1" applyBorder="1" applyAlignment="1" applyProtection="1">
      <alignment horizontal="center"/>
      <protection/>
    </xf>
    <xf numFmtId="173" fontId="6" fillId="0" borderId="37" xfId="55" applyFont="1" applyBorder="1" applyAlignment="1" applyProtection="1">
      <alignment horizontal="center"/>
      <protection/>
    </xf>
    <xf numFmtId="173" fontId="6" fillId="0" borderId="42" xfId="55" applyFont="1" applyBorder="1" applyAlignment="1" applyProtection="1">
      <alignment horizontal="center"/>
      <protection/>
    </xf>
    <xf numFmtId="173" fontId="8" fillId="0" borderId="38" xfId="55" applyFont="1" applyBorder="1" applyAlignment="1" applyProtection="1">
      <alignment horizontal="left"/>
      <protection/>
    </xf>
    <xf numFmtId="173" fontId="6" fillId="0" borderId="38" xfId="55" applyFont="1" applyBorder="1" applyAlignment="1" applyProtection="1">
      <alignment horizontal="center"/>
      <protection/>
    </xf>
    <xf numFmtId="173" fontId="8" fillId="0" borderId="43" xfId="55" applyFont="1" applyBorder="1" applyAlignment="1" applyProtection="1">
      <alignment horizontal="center"/>
      <protection/>
    </xf>
    <xf numFmtId="173" fontId="8" fillId="0" borderId="32" xfId="55" applyFont="1" applyBorder="1" applyAlignment="1" applyProtection="1">
      <alignment horizontal="center"/>
      <protection/>
    </xf>
    <xf numFmtId="173" fontId="8" fillId="0" borderId="44" xfId="55" applyFont="1" applyBorder="1" applyAlignment="1" applyProtection="1">
      <alignment horizontal="center"/>
      <protection/>
    </xf>
    <xf numFmtId="173" fontId="8" fillId="0" borderId="45" xfId="55" applyFont="1" applyBorder="1" applyAlignment="1" applyProtection="1">
      <alignment horizontal="right"/>
      <protection/>
    </xf>
    <xf numFmtId="173" fontId="8" fillId="0" borderId="46" xfId="55" applyFont="1" applyBorder="1" applyAlignment="1" applyProtection="1">
      <alignment horizontal="center"/>
      <protection/>
    </xf>
    <xf numFmtId="173" fontId="8" fillId="0" borderId="47" xfId="55" applyFont="1" applyBorder="1" applyAlignment="1" applyProtection="1">
      <alignment horizontal="center"/>
      <protection/>
    </xf>
    <xf numFmtId="173" fontId="3" fillId="0" borderId="38" xfId="55" applyFont="1" applyBorder="1" applyProtection="1">
      <alignment/>
      <protection/>
    </xf>
    <xf numFmtId="173" fontId="4" fillId="0" borderId="38" xfId="55" applyBorder="1">
      <alignment/>
      <protection/>
    </xf>
    <xf numFmtId="173" fontId="8" fillId="0" borderId="48" xfId="55" applyFont="1" applyBorder="1" applyAlignment="1" applyProtection="1">
      <alignment horizontal="center"/>
      <protection/>
    </xf>
    <xf numFmtId="173" fontId="8" fillId="0" borderId="48" xfId="55" applyFont="1" applyBorder="1" applyAlignment="1" applyProtection="1" quotePrefix="1">
      <alignment horizontal="center"/>
      <protection/>
    </xf>
    <xf numFmtId="0" fontId="9" fillId="0" borderId="49" xfId="0" applyFont="1" applyBorder="1" applyAlignment="1">
      <alignment/>
    </xf>
    <xf numFmtId="0" fontId="11" fillId="0" borderId="49" xfId="0" applyFont="1" applyBorder="1" applyAlignment="1">
      <alignment/>
    </xf>
    <xf numFmtId="173" fontId="4" fillId="0" borderId="42" xfId="55" applyBorder="1">
      <alignment/>
      <protection/>
    </xf>
    <xf numFmtId="173" fontId="4" fillId="0" borderId="50" xfId="55" applyBorder="1">
      <alignment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73" fontId="8" fillId="0" borderId="52" xfId="55" applyFont="1" applyBorder="1" applyAlignment="1" applyProtection="1" quotePrefix="1">
      <alignment horizontal="center"/>
      <protection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73" fontId="6" fillId="36" borderId="26" xfId="55" applyFont="1" applyFill="1" applyBorder="1" applyAlignment="1" applyProtection="1">
      <alignment horizontal="center"/>
      <protection/>
    </xf>
    <xf numFmtId="173" fontId="6" fillId="0" borderId="27" xfId="55" applyFont="1" applyBorder="1" applyProtection="1">
      <alignment/>
      <protection/>
    </xf>
    <xf numFmtId="173" fontId="6" fillId="0" borderId="30" xfId="55" applyFont="1" applyBorder="1" applyProtection="1">
      <alignment/>
      <protection/>
    </xf>
    <xf numFmtId="173" fontId="6" fillId="0" borderId="31" xfId="55" applyFont="1" applyBorder="1" applyProtection="1">
      <alignment/>
      <protection/>
    </xf>
    <xf numFmtId="173" fontId="6" fillId="0" borderId="52" xfId="55" applyFont="1" applyBorder="1" applyProtection="1">
      <alignment/>
      <protection/>
    </xf>
    <xf numFmtId="173" fontId="6" fillId="0" borderId="54" xfId="55" applyFont="1" applyBorder="1" applyProtection="1">
      <alignment/>
      <protection/>
    </xf>
    <xf numFmtId="173" fontId="6" fillId="0" borderId="27" xfId="55" applyFont="1" applyBorder="1" applyAlignment="1" applyProtection="1">
      <alignment horizontal="center"/>
      <protection/>
    </xf>
    <xf numFmtId="173" fontId="3" fillId="0" borderId="55" xfId="55" applyFont="1" applyBorder="1" applyProtection="1">
      <alignment/>
      <protection/>
    </xf>
    <xf numFmtId="173" fontId="3" fillId="0" borderId="56" xfId="55" applyFont="1" applyBorder="1" applyProtection="1">
      <alignment/>
      <protection/>
    </xf>
    <xf numFmtId="173" fontId="6" fillId="0" borderId="41" xfId="55" applyFont="1" applyBorder="1" applyProtection="1">
      <alignment/>
      <protection/>
    </xf>
    <xf numFmtId="0" fontId="17" fillId="0" borderId="38" xfId="0" applyFont="1" applyBorder="1" applyAlignment="1" applyProtection="1">
      <alignment/>
      <protection/>
    </xf>
    <xf numFmtId="173" fontId="6" fillId="36" borderId="26" xfId="55" applyFont="1" applyFill="1" applyBorder="1" applyAlignment="1" applyProtection="1">
      <alignment horizontal="right"/>
      <protection/>
    </xf>
    <xf numFmtId="173" fontId="6" fillId="36" borderId="21" xfId="55" applyFont="1" applyFill="1" applyBorder="1" applyAlignment="1" applyProtection="1">
      <alignment horizontal="center"/>
      <protection/>
    </xf>
    <xf numFmtId="173" fontId="6" fillId="0" borderId="21" xfId="55" applyFont="1" applyBorder="1" applyAlignment="1" applyProtection="1">
      <alignment horizontal="center"/>
      <protection/>
    </xf>
    <xf numFmtId="173" fontId="6" fillId="0" borderId="26" xfId="55" applyFont="1" applyBorder="1" applyAlignment="1" applyProtection="1">
      <alignment horizontal="right"/>
      <protection/>
    </xf>
    <xf numFmtId="173" fontId="6" fillId="0" borderId="57" xfId="55" applyFont="1" applyBorder="1" applyAlignment="1" applyProtection="1">
      <alignment horizontal="right"/>
      <protection/>
    </xf>
    <xf numFmtId="173" fontId="6" fillId="0" borderId="14" xfId="55" applyFont="1" applyBorder="1" applyAlignment="1" applyProtection="1">
      <alignment horizontal="center"/>
      <protection/>
    </xf>
    <xf numFmtId="173" fontId="6" fillId="0" borderId="58" xfId="55" applyFont="1" applyBorder="1" applyAlignment="1" applyProtection="1">
      <alignment horizontal="center"/>
      <protection/>
    </xf>
    <xf numFmtId="173" fontId="6" fillId="0" borderId="38" xfId="55" applyFont="1" applyBorder="1" applyProtection="1">
      <alignment/>
      <protection/>
    </xf>
    <xf numFmtId="173" fontId="6" fillId="0" borderId="16" xfId="55" applyFont="1" applyBorder="1" applyProtection="1">
      <alignment/>
      <protection/>
    </xf>
    <xf numFmtId="173" fontId="6" fillId="0" borderId="21" xfId="55" applyFont="1" applyBorder="1" applyProtection="1">
      <alignment/>
      <protection/>
    </xf>
    <xf numFmtId="173" fontId="6" fillId="0" borderId="53" xfId="55" applyFont="1" applyBorder="1" applyProtection="1">
      <alignment/>
      <protection/>
    </xf>
    <xf numFmtId="173" fontId="6" fillId="0" borderId="59" xfId="55" applyFont="1" applyBorder="1" applyAlignment="1" applyProtection="1">
      <alignment horizontal="left" indent="1"/>
      <protection/>
    </xf>
    <xf numFmtId="173" fontId="6" fillId="0" borderId="60" xfId="55" applyFont="1" applyBorder="1" applyAlignment="1" applyProtection="1">
      <alignment horizontal="left" indent="1"/>
      <protection/>
    </xf>
    <xf numFmtId="173" fontId="6" fillId="0" borderId="29" xfId="55" applyFont="1" applyBorder="1" applyAlignment="1" applyProtection="1">
      <alignment horizontal="left" indent="1"/>
      <protection/>
    </xf>
    <xf numFmtId="173" fontId="6" fillId="0" borderId="61" xfId="55" applyFont="1" applyBorder="1" applyAlignment="1" applyProtection="1">
      <alignment horizontal="left" indent="1"/>
      <protection/>
    </xf>
    <xf numFmtId="0" fontId="16" fillId="0" borderId="38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/>
      <protection locked="0"/>
    </xf>
    <xf numFmtId="0" fontId="1" fillId="0" borderId="52" xfId="0" applyFont="1" applyBorder="1" applyAlignment="1" applyProtection="1">
      <alignment/>
      <protection locked="0"/>
    </xf>
    <xf numFmtId="173" fontId="6" fillId="0" borderId="41" xfId="55" applyFont="1" applyBorder="1" applyAlignment="1" applyProtection="1">
      <alignment horizontal="left" indent="1"/>
      <protection/>
    </xf>
    <xf numFmtId="173" fontId="6" fillId="0" borderId="14" xfId="55" applyFont="1" applyBorder="1" applyProtection="1">
      <alignment/>
      <protection/>
    </xf>
    <xf numFmtId="173" fontId="6" fillId="36" borderId="56" xfId="55" applyFont="1" applyFill="1" applyBorder="1" applyAlignment="1" applyProtection="1">
      <alignment horizontal="center"/>
      <protection/>
    </xf>
    <xf numFmtId="173" fontId="6" fillId="0" borderId="56" xfId="55" applyFont="1" applyBorder="1" applyAlignment="1" applyProtection="1">
      <alignment horizontal="center"/>
      <protection/>
    </xf>
    <xf numFmtId="173" fontId="6" fillId="0" borderId="15" xfId="55" applyFont="1" applyBorder="1" applyAlignment="1" applyProtection="1">
      <alignment horizontal="center"/>
      <protection/>
    </xf>
    <xf numFmtId="173" fontId="6" fillId="0" borderId="29" xfId="55" applyFont="1" applyBorder="1" applyAlignment="1" applyProtection="1">
      <alignment horizontal="right"/>
      <protection/>
    </xf>
    <xf numFmtId="173" fontId="6" fillId="36" borderId="29" xfId="55" applyFont="1" applyFill="1" applyBorder="1" applyAlignment="1" applyProtection="1">
      <alignment horizontal="right"/>
      <protection/>
    </xf>
    <xf numFmtId="173" fontId="6" fillId="0" borderId="41" xfId="55" applyFont="1" applyBorder="1" applyAlignment="1" applyProtection="1">
      <alignment horizontal="right"/>
      <protection/>
    </xf>
    <xf numFmtId="173" fontId="6" fillId="36" borderId="41" xfId="55" applyFont="1" applyFill="1" applyBorder="1" applyAlignment="1" applyProtection="1">
      <alignment horizontal="right"/>
      <protection/>
    </xf>
    <xf numFmtId="173" fontId="6" fillId="36" borderId="15" xfId="55" applyFont="1" applyFill="1" applyBorder="1" applyAlignment="1" applyProtection="1">
      <alignment horizontal="center"/>
      <protection/>
    </xf>
    <xf numFmtId="0" fontId="1" fillId="0" borderId="62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right"/>
      <protection locked="0"/>
    </xf>
    <xf numFmtId="0" fontId="4" fillId="0" borderId="6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73" fontId="4" fillId="0" borderId="31" xfId="55" applyBorder="1">
      <alignment/>
      <protection/>
    </xf>
    <xf numFmtId="173" fontId="15" fillId="36" borderId="21" xfId="55" applyFont="1" applyFill="1" applyBorder="1" applyAlignment="1" applyProtection="1">
      <alignment horizontal="center"/>
      <protection/>
    </xf>
    <xf numFmtId="173" fontId="15" fillId="0" borderId="29" xfId="55" applyFont="1" applyBorder="1" applyProtection="1">
      <alignment/>
      <protection/>
    </xf>
    <xf numFmtId="173" fontId="15" fillId="0" borderId="56" xfId="55" applyFont="1" applyBorder="1" applyProtection="1">
      <alignment/>
      <protection/>
    </xf>
    <xf numFmtId="173" fontId="15" fillId="0" borderId="16" xfId="55" applyFont="1" applyBorder="1" applyProtection="1">
      <alignment/>
      <protection/>
    </xf>
    <xf numFmtId="173" fontId="15" fillId="36" borderId="60" xfId="55" applyFont="1" applyFill="1" applyBorder="1" applyAlignment="1" applyProtection="1">
      <alignment horizontal="center"/>
      <protection/>
    </xf>
    <xf numFmtId="173" fontId="15" fillId="36" borderId="17" xfId="55" applyFont="1" applyFill="1" applyBorder="1" applyAlignment="1" applyProtection="1">
      <alignment horizontal="center"/>
      <protection/>
    </xf>
    <xf numFmtId="173" fontId="15" fillId="0" borderId="60" xfId="55" applyFont="1" applyBorder="1" applyProtection="1">
      <alignment/>
      <protection/>
    </xf>
    <xf numFmtId="173" fontId="15" fillId="0" borderId="17" xfId="55" applyFont="1" applyBorder="1" applyProtection="1">
      <alignment/>
      <protection/>
    </xf>
    <xf numFmtId="173" fontId="15" fillId="0" borderId="52" xfId="55" applyFont="1" applyBorder="1" applyProtection="1">
      <alignment/>
      <protection/>
    </xf>
    <xf numFmtId="173" fontId="15" fillId="0" borderId="53" xfId="55" applyFont="1" applyBorder="1" applyProtection="1">
      <alignment/>
      <protection/>
    </xf>
    <xf numFmtId="173" fontId="15" fillId="0" borderId="61" xfId="55" applyFont="1" applyBorder="1" applyProtection="1">
      <alignment/>
      <protection/>
    </xf>
    <xf numFmtId="173" fontId="15" fillId="0" borderId="35" xfId="55" applyFont="1" applyBorder="1" applyProtection="1">
      <alignment/>
      <protection/>
    </xf>
    <xf numFmtId="173" fontId="15" fillId="36" borderId="61" xfId="55" applyFont="1" applyFill="1" applyBorder="1" applyAlignment="1" applyProtection="1">
      <alignment horizontal="center"/>
      <protection/>
    </xf>
    <xf numFmtId="173" fontId="15" fillId="0" borderId="54" xfId="55" applyFont="1" applyBorder="1" applyProtection="1">
      <alignment/>
      <protection/>
    </xf>
    <xf numFmtId="173" fontId="6" fillId="36" borderId="21" xfId="55" applyFont="1" applyFill="1" applyBorder="1" applyAlignment="1" applyProtection="1">
      <alignment horizontal="center"/>
      <protection/>
    </xf>
    <xf numFmtId="173" fontId="6" fillId="0" borderId="56" xfId="55" applyFont="1" applyBorder="1" applyProtection="1">
      <alignment/>
      <protection/>
    </xf>
    <xf numFmtId="173" fontId="6" fillId="0" borderId="27" xfId="55" applyFont="1" applyBorder="1" applyProtection="1">
      <alignment/>
      <protection/>
    </xf>
    <xf numFmtId="173" fontId="6" fillId="36" borderId="17" xfId="55" applyFont="1" applyFill="1" applyBorder="1" applyAlignment="1" applyProtection="1">
      <alignment horizontal="center"/>
      <protection/>
    </xf>
    <xf numFmtId="173" fontId="6" fillId="0" borderId="17" xfId="55" applyFont="1" applyBorder="1" applyProtection="1">
      <alignment/>
      <protection/>
    </xf>
    <xf numFmtId="173" fontId="6" fillId="0" borderId="31" xfId="55" applyFont="1" applyBorder="1" applyProtection="1">
      <alignment/>
      <protection/>
    </xf>
    <xf numFmtId="173" fontId="6" fillId="36" borderId="16" xfId="55" applyFont="1" applyFill="1" applyBorder="1" applyAlignment="1" applyProtection="1">
      <alignment horizontal="center"/>
      <protection/>
    </xf>
    <xf numFmtId="173" fontId="6" fillId="0" borderId="35" xfId="55" applyFont="1" applyBorder="1" applyProtection="1">
      <alignment/>
      <protection/>
    </xf>
    <xf numFmtId="173" fontId="6" fillId="36" borderId="35" xfId="55" applyFont="1" applyFill="1" applyBorder="1" applyAlignment="1" applyProtection="1">
      <alignment horizontal="center"/>
      <protection/>
    </xf>
    <xf numFmtId="173" fontId="6" fillId="0" borderId="54" xfId="55" applyFont="1" applyBorder="1" applyProtection="1">
      <alignment/>
      <protection/>
    </xf>
    <xf numFmtId="173" fontId="6" fillId="36" borderId="26" xfId="55" applyFont="1" applyFill="1" applyBorder="1" applyAlignment="1" applyProtection="1">
      <alignment horizontal="right"/>
      <protection/>
    </xf>
    <xf numFmtId="173" fontId="6" fillId="0" borderId="30" xfId="55" applyFont="1" applyBorder="1" applyAlignment="1" applyProtection="1">
      <alignment horizontal="right"/>
      <protection/>
    </xf>
    <xf numFmtId="173" fontId="6" fillId="0" borderId="52" xfId="55" applyFont="1" applyBorder="1" applyAlignment="1" applyProtection="1">
      <alignment horizontal="right"/>
      <protection/>
    </xf>
    <xf numFmtId="173" fontId="6" fillId="0" borderId="29" xfId="55" applyFont="1" applyBorder="1" applyAlignment="1" applyProtection="1">
      <alignment horizontal="right"/>
      <protection/>
    </xf>
    <xf numFmtId="173" fontId="6" fillId="36" borderId="60" xfId="55" applyFont="1" applyFill="1" applyBorder="1" applyAlignment="1" applyProtection="1">
      <alignment horizontal="right"/>
      <protection/>
    </xf>
    <xf numFmtId="173" fontId="6" fillId="0" borderId="60" xfId="55" applyFont="1" applyBorder="1" applyAlignment="1" applyProtection="1">
      <alignment horizontal="right"/>
      <protection/>
    </xf>
    <xf numFmtId="173" fontId="6" fillId="0" borderId="61" xfId="55" applyFont="1" applyBorder="1" applyAlignment="1" applyProtection="1">
      <alignment horizontal="right"/>
      <protection/>
    </xf>
    <xf numFmtId="173" fontId="6" fillId="0" borderId="21" xfId="55" applyFont="1" applyBorder="1" applyAlignment="1" applyProtection="1">
      <alignment horizontal="right"/>
      <protection/>
    </xf>
    <xf numFmtId="173" fontId="6" fillId="0" borderId="16" xfId="55" applyFont="1" applyBorder="1" applyAlignment="1" applyProtection="1">
      <alignment horizontal="right"/>
      <protection/>
    </xf>
    <xf numFmtId="173" fontId="6" fillId="36" borderId="16" xfId="55" applyFont="1" applyFill="1" applyBorder="1" applyAlignment="1" applyProtection="1">
      <alignment horizontal="right"/>
      <protection/>
    </xf>
    <xf numFmtId="173" fontId="6" fillId="0" borderId="53" xfId="55" applyFont="1" applyBorder="1" applyAlignment="1" applyProtection="1">
      <alignment horizontal="right"/>
      <protection/>
    </xf>
    <xf numFmtId="173" fontId="6" fillId="36" borderId="61" xfId="55" applyFont="1" applyFill="1" applyBorder="1" applyAlignment="1" applyProtection="1">
      <alignment horizontal="right"/>
      <protection/>
    </xf>
    <xf numFmtId="0" fontId="16" fillId="0" borderId="18" xfId="0" applyFont="1" applyBorder="1" applyAlignment="1" applyProtection="1">
      <alignment horizontal="center"/>
      <protection locked="0"/>
    </xf>
    <xf numFmtId="173" fontId="6" fillId="0" borderId="29" xfId="55" applyFont="1" applyBorder="1" applyProtection="1">
      <alignment/>
      <protection/>
    </xf>
    <xf numFmtId="173" fontId="6" fillId="0" borderId="56" xfId="55" applyFont="1" applyBorder="1" applyProtection="1">
      <alignment/>
      <protection/>
    </xf>
    <xf numFmtId="173" fontId="6" fillId="0" borderId="21" xfId="55" applyFont="1" applyBorder="1" applyProtection="1">
      <alignment/>
      <protection/>
    </xf>
    <xf numFmtId="173" fontId="6" fillId="0" borderId="16" xfId="55" applyFont="1" applyBorder="1" applyProtection="1">
      <alignment/>
      <protection/>
    </xf>
    <xf numFmtId="173" fontId="6" fillId="36" borderId="60" xfId="55" applyFont="1" applyFill="1" applyBorder="1" applyAlignment="1" applyProtection="1">
      <alignment horizontal="center"/>
      <protection/>
    </xf>
    <xf numFmtId="173" fontId="6" fillId="36" borderId="17" xfId="55" applyFont="1" applyFill="1" applyBorder="1" applyAlignment="1" applyProtection="1">
      <alignment horizontal="center"/>
      <protection/>
    </xf>
    <xf numFmtId="173" fontId="6" fillId="0" borderId="60" xfId="55" applyFont="1" applyBorder="1" applyProtection="1">
      <alignment/>
      <protection/>
    </xf>
    <xf numFmtId="173" fontId="6" fillId="0" borderId="17" xfId="55" applyFont="1" applyBorder="1" applyProtection="1">
      <alignment/>
      <protection/>
    </xf>
    <xf numFmtId="173" fontId="6" fillId="36" borderId="16" xfId="55" applyFont="1" applyFill="1" applyBorder="1" applyAlignment="1" applyProtection="1">
      <alignment horizontal="center"/>
      <protection/>
    </xf>
    <xf numFmtId="173" fontId="6" fillId="0" borderId="53" xfId="55" applyFont="1" applyBorder="1" applyProtection="1">
      <alignment/>
      <protection/>
    </xf>
    <xf numFmtId="173" fontId="6" fillId="0" borderId="61" xfId="55" applyFont="1" applyBorder="1" applyProtection="1">
      <alignment/>
      <protection/>
    </xf>
    <xf numFmtId="173" fontId="6" fillId="0" borderId="35" xfId="55" applyFont="1" applyBorder="1" applyProtection="1">
      <alignment/>
      <protection/>
    </xf>
    <xf numFmtId="173" fontId="6" fillId="36" borderId="61" xfId="55" applyFont="1" applyFill="1" applyBorder="1" applyAlignment="1" applyProtection="1">
      <alignment horizontal="center"/>
      <protection/>
    </xf>
    <xf numFmtId="173" fontId="6" fillId="36" borderId="35" xfId="55" applyFont="1" applyFill="1" applyBorder="1" applyAlignment="1" applyProtection="1">
      <alignment horizontal="center"/>
      <protection/>
    </xf>
    <xf numFmtId="173" fontId="2" fillId="0" borderId="38" xfId="55" applyFont="1" applyFill="1" applyBorder="1" applyAlignment="1" applyProtection="1">
      <alignment horizontal="left"/>
      <protection locked="0"/>
    </xf>
    <xf numFmtId="173" fontId="12" fillId="0" borderId="59" xfId="55" applyFont="1" applyFill="1" applyBorder="1" applyAlignment="1">
      <alignment horizontal="left"/>
      <protection/>
    </xf>
    <xf numFmtId="0" fontId="13" fillId="0" borderId="38" xfId="0" applyFont="1" applyFill="1" applyBorder="1" applyAlignment="1">
      <alignment/>
    </xf>
    <xf numFmtId="0" fontId="5" fillId="0" borderId="42" xfId="0" applyFont="1" applyBorder="1" applyAlignment="1">
      <alignment horizontal="center"/>
    </xf>
    <xf numFmtId="0" fontId="19" fillId="39" borderId="64" xfId="0" applyFont="1" applyFill="1" applyBorder="1" applyAlignment="1">
      <alignment horizontal="center"/>
    </xf>
    <xf numFmtId="0" fontId="11" fillId="0" borderId="65" xfId="0" applyFont="1" applyBorder="1" applyAlignment="1">
      <alignment/>
    </xf>
    <xf numFmtId="0" fontId="11" fillId="0" borderId="66" xfId="0" applyFont="1" applyBorder="1" applyAlignment="1">
      <alignment/>
    </xf>
    <xf numFmtId="0" fontId="19" fillId="39" borderId="67" xfId="0" applyFont="1" applyFill="1" applyBorder="1" applyAlignment="1">
      <alignment horizontal="center"/>
    </xf>
    <xf numFmtId="0" fontId="14" fillId="0" borderId="50" xfId="0" applyNumberFormat="1" applyFont="1" applyFill="1" applyBorder="1" applyAlignment="1">
      <alignment horizontal="left"/>
    </xf>
    <xf numFmtId="173" fontId="7" fillId="0" borderId="68" xfId="55" applyFont="1" applyBorder="1" applyAlignment="1">
      <alignment horizontal="center"/>
      <protection/>
    </xf>
    <xf numFmtId="173" fontId="15" fillId="36" borderId="54" xfId="55" applyFont="1" applyFill="1" applyBorder="1" applyAlignment="1" applyProtection="1">
      <alignment horizontal="center"/>
      <protection/>
    </xf>
    <xf numFmtId="173" fontId="16" fillId="0" borderId="44" xfId="55" applyFont="1" applyBorder="1" applyAlignment="1" applyProtection="1">
      <alignment/>
      <protection/>
    </xf>
    <xf numFmtId="173" fontId="16" fillId="0" borderId="41" xfId="55" applyFont="1" applyBorder="1" applyAlignment="1" applyProtection="1">
      <alignment/>
      <protection/>
    </xf>
    <xf numFmtId="0" fontId="10" fillId="0" borderId="27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41" xfId="0" applyFont="1" applyBorder="1" applyAlignment="1">
      <alignment horizontal="left" indent="1"/>
    </xf>
    <xf numFmtId="173" fontId="15" fillId="36" borderId="53" xfId="55" applyFont="1" applyFill="1" applyBorder="1" applyAlignment="1" applyProtection="1">
      <alignment horizontal="center"/>
      <protection/>
    </xf>
    <xf numFmtId="173" fontId="15" fillId="36" borderId="26" xfId="55" applyFont="1" applyFill="1" applyBorder="1" applyAlignment="1" applyProtection="1">
      <alignment horizontal="right"/>
      <protection/>
    </xf>
    <xf numFmtId="173" fontId="15" fillId="0" borderId="30" xfId="55" applyFont="1" applyBorder="1" applyAlignment="1" applyProtection="1">
      <alignment horizontal="right"/>
      <protection/>
    </xf>
    <xf numFmtId="173" fontId="15" fillId="0" borderId="52" xfId="55" applyFont="1" applyBorder="1" applyAlignment="1" applyProtection="1">
      <alignment horizontal="right"/>
      <protection/>
    </xf>
    <xf numFmtId="173" fontId="15" fillId="0" borderId="26" xfId="55" applyFont="1" applyBorder="1" applyAlignment="1" applyProtection="1">
      <alignment horizontal="right"/>
      <protection/>
    </xf>
    <xf numFmtId="173" fontId="15" fillId="36" borderId="30" xfId="55" applyFont="1" applyFill="1" applyBorder="1" applyAlignment="1" applyProtection="1">
      <alignment horizontal="right"/>
      <protection/>
    </xf>
    <xf numFmtId="173" fontId="15" fillId="36" borderId="16" xfId="55" applyFont="1" applyFill="1" applyBorder="1" applyAlignment="1" applyProtection="1">
      <alignment horizontal="right"/>
      <protection/>
    </xf>
    <xf numFmtId="173" fontId="15" fillId="36" borderId="53" xfId="55" applyFont="1" applyFill="1" applyBorder="1" applyAlignment="1" applyProtection="1">
      <alignment horizontal="right"/>
      <protection/>
    </xf>
    <xf numFmtId="173" fontId="6" fillId="0" borderId="40" xfId="55" applyFont="1" applyBorder="1" applyAlignment="1" applyProtection="1">
      <alignment horizontal="left"/>
      <protection/>
    </xf>
    <xf numFmtId="173" fontId="6" fillId="0" borderId="59" xfId="55" applyFont="1" applyBorder="1" applyAlignment="1" applyProtection="1">
      <alignment/>
      <protection locked="0"/>
    </xf>
    <xf numFmtId="173" fontId="6" fillId="0" borderId="40" xfId="55" applyFont="1" applyBorder="1" applyAlignment="1" applyProtection="1">
      <alignment/>
      <protection/>
    </xf>
    <xf numFmtId="173" fontId="6" fillId="0" borderId="59" xfId="55" applyFont="1" applyBorder="1" applyAlignment="1" applyProtection="1">
      <alignment horizontal="left"/>
      <protection locked="0"/>
    </xf>
    <xf numFmtId="0" fontId="9" fillId="0" borderId="69" xfId="0" applyFont="1" applyBorder="1" applyAlignment="1">
      <alignment horizontal="center"/>
    </xf>
    <xf numFmtId="0" fontId="11" fillId="0" borderId="70" xfId="0" applyFont="1" applyBorder="1" applyAlignment="1">
      <alignment/>
    </xf>
    <xf numFmtId="0" fontId="11" fillId="0" borderId="71" xfId="0" applyFont="1" applyBorder="1" applyAlignment="1">
      <alignment/>
    </xf>
    <xf numFmtId="0" fontId="19" fillId="39" borderId="72" xfId="0" applyFont="1" applyFill="1" applyBorder="1" applyAlignment="1">
      <alignment horizontal="center"/>
    </xf>
    <xf numFmtId="0" fontId="11" fillId="0" borderId="73" xfId="0" applyFont="1" applyBorder="1" applyAlignment="1">
      <alignment/>
    </xf>
    <xf numFmtId="0" fontId="11" fillId="0" borderId="74" xfId="0" applyFont="1" applyBorder="1" applyAlignment="1">
      <alignment/>
    </xf>
    <xf numFmtId="0" fontId="19" fillId="39" borderId="75" xfId="0" applyFont="1" applyFill="1" applyBorder="1" applyAlignment="1">
      <alignment horizontal="center"/>
    </xf>
    <xf numFmtId="0" fontId="11" fillId="0" borderId="7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78" xfId="0" applyFont="1" applyBorder="1" applyAlignment="1">
      <alignment/>
    </xf>
    <xf numFmtId="0" fontId="19" fillId="39" borderId="79" xfId="0" applyFont="1" applyFill="1" applyBorder="1" applyAlignment="1">
      <alignment horizontal="center"/>
    </xf>
    <xf numFmtId="0" fontId="11" fillId="0" borderId="80" xfId="0" applyFont="1" applyBorder="1" applyAlignment="1">
      <alignment/>
    </xf>
    <xf numFmtId="0" fontId="11" fillId="0" borderId="81" xfId="0" applyFont="1" applyBorder="1" applyAlignment="1">
      <alignment/>
    </xf>
    <xf numFmtId="0" fontId="19" fillId="39" borderId="82" xfId="0" applyFont="1" applyFill="1" applyBorder="1" applyAlignment="1">
      <alignment horizontal="center"/>
    </xf>
    <xf numFmtId="0" fontId="11" fillId="0" borderId="83" xfId="0" applyFont="1" applyBorder="1" applyAlignment="1">
      <alignment/>
    </xf>
    <xf numFmtId="0" fontId="11" fillId="0" borderId="84" xfId="0" applyFont="1" applyBorder="1" applyAlignment="1">
      <alignment/>
    </xf>
    <xf numFmtId="0" fontId="19" fillId="39" borderId="85" xfId="0" applyFont="1" applyFill="1" applyBorder="1" applyAlignment="1">
      <alignment horizontal="center"/>
    </xf>
    <xf numFmtId="0" fontId="11" fillId="0" borderId="86" xfId="0" applyFont="1" applyBorder="1" applyAlignment="1">
      <alignment/>
    </xf>
    <xf numFmtId="0" fontId="11" fillId="0" borderId="87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73" fontId="6" fillId="40" borderId="88" xfId="55" applyFont="1" applyFill="1" applyBorder="1" applyAlignment="1" applyProtection="1">
      <alignment horizontal="left"/>
      <protection locked="0"/>
    </xf>
    <xf numFmtId="173" fontId="6" fillId="40" borderId="89" xfId="55" applyFont="1" applyFill="1" applyBorder="1" applyAlignment="1" applyProtection="1">
      <alignment horizontal="left"/>
      <protection locked="0"/>
    </xf>
    <xf numFmtId="173" fontId="6" fillId="40" borderId="90" xfId="55" applyFont="1" applyFill="1" applyBorder="1" applyAlignment="1" applyProtection="1">
      <alignment horizontal="left"/>
      <protection locked="0"/>
    </xf>
    <xf numFmtId="0" fontId="16" fillId="0" borderId="38" xfId="0" applyFont="1" applyBorder="1" applyAlignment="1" applyProtection="1">
      <alignment horizontal="center"/>
      <protection/>
    </xf>
    <xf numFmtId="0" fontId="16" fillId="0" borderId="18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173" fontId="16" fillId="0" borderId="28" xfId="55" applyFont="1" applyBorder="1" applyAlignment="1" applyProtection="1">
      <alignment horizontal="center"/>
      <protection/>
    </xf>
    <xf numFmtId="173" fontId="16" fillId="0" borderId="29" xfId="55" applyFont="1" applyBorder="1" applyAlignment="1" applyProtection="1">
      <alignment horizontal="center"/>
      <protection/>
    </xf>
    <xf numFmtId="173" fontId="16" fillId="0" borderId="91" xfId="55" applyFont="1" applyBorder="1" applyAlignment="1" applyProtection="1">
      <alignment horizontal="center"/>
      <protection/>
    </xf>
    <xf numFmtId="173" fontId="16" fillId="0" borderId="41" xfId="55" applyFont="1" applyBorder="1" applyAlignment="1" applyProtection="1">
      <alignment horizontal="center"/>
      <protection/>
    </xf>
    <xf numFmtId="173" fontId="16" fillId="0" borderId="92" xfId="55" applyFont="1" applyBorder="1" applyAlignment="1" applyProtection="1">
      <alignment horizontal="right"/>
      <protection/>
    </xf>
    <xf numFmtId="0" fontId="14" fillId="0" borderId="93" xfId="0" applyNumberFormat="1" applyFont="1" applyBorder="1" applyAlignment="1">
      <alignment horizontal="center"/>
    </xf>
    <xf numFmtId="173" fontId="16" fillId="0" borderId="12" xfId="55" applyFont="1" applyBorder="1" applyAlignment="1" applyProtection="1">
      <alignment horizontal="right"/>
      <protection/>
    </xf>
    <xf numFmtId="0" fontId="14" fillId="0" borderId="94" xfId="0" applyNumberFormat="1" applyFont="1" applyBorder="1" applyAlignment="1">
      <alignment horizontal="center"/>
    </xf>
    <xf numFmtId="173" fontId="16" fillId="0" borderId="91" xfId="55" applyFont="1" applyBorder="1" applyAlignment="1" applyProtection="1">
      <alignment horizontal="right"/>
      <protection/>
    </xf>
    <xf numFmtId="0" fontId="14" fillId="0" borderId="95" xfId="0" applyNumberFormat="1" applyFont="1" applyBorder="1" applyAlignment="1">
      <alignment horizontal="center"/>
    </xf>
    <xf numFmtId="173" fontId="16" fillId="0" borderId="96" xfId="55" applyFont="1" applyBorder="1" applyAlignment="1" applyProtection="1">
      <alignment horizontal="right"/>
      <protection/>
    </xf>
    <xf numFmtId="0" fontId="14" fillId="0" borderId="97" xfId="0" applyNumberFormat="1" applyFont="1" applyBorder="1" applyAlignment="1">
      <alignment horizontal="center"/>
    </xf>
    <xf numFmtId="173" fontId="16" fillId="0" borderId="98" xfId="55" applyFont="1" applyBorder="1" applyAlignment="1" applyProtection="1">
      <alignment horizontal="right"/>
      <protection/>
    </xf>
    <xf numFmtId="0" fontId="14" fillId="0" borderId="99" xfId="0" applyNumberFormat="1" applyFont="1" applyBorder="1" applyAlignment="1">
      <alignment horizontal="center"/>
    </xf>
    <xf numFmtId="173" fontId="16" fillId="0" borderId="100" xfId="55" applyFont="1" applyBorder="1" applyAlignment="1" applyProtection="1">
      <alignment horizontal="right"/>
      <protection/>
    </xf>
    <xf numFmtId="0" fontId="14" fillId="0" borderId="101" xfId="0" applyNumberFormat="1" applyFont="1" applyBorder="1" applyAlignment="1">
      <alignment horizontal="center"/>
    </xf>
    <xf numFmtId="173" fontId="16" fillId="0" borderId="102" xfId="55" applyFont="1" applyBorder="1" applyAlignment="1" applyProtection="1">
      <alignment horizontal="right"/>
      <protection/>
    </xf>
    <xf numFmtId="0" fontId="14" fillId="0" borderId="103" xfId="0" applyNumberFormat="1" applyFont="1" applyBorder="1" applyAlignment="1">
      <alignment horizontal="center"/>
    </xf>
    <xf numFmtId="173" fontId="16" fillId="0" borderId="28" xfId="55" applyFont="1" applyBorder="1" applyAlignment="1" applyProtection="1">
      <alignment horizontal="right"/>
      <protection/>
    </xf>
    <xf numFmtId="173" fontId="25" fillId="40" borderId="104" xfId="55" applyFont="1" applyFill="1" applyBorder="1" applyAlignment="1" applyProtection="1">
      <alignment horizontal="center"/>
      <protection locked="0"/>
    </xf>
    <xf numFmtId="173" fontId="25" fillId="40" borderId="105" xfId="55" applyFont="1" applyFill="1" applyBorder="1" applyAlignment="1" applyProtection="1">
      <alignment horizontal="center"/>
      <protection locked="0"/>
    </xf>
    <xf numFmtId="173" fontId="16" fillId="0" borderId="106" xfId="55" applyFont="1" applyBorder="1" applyAlignment="1" applyProtection="1">
      <alignment horizontal="right"/>
      <protection/>
    </xf>
    <xf numFmtId="173" fontId="16" fillId="0" borderId="11" xfId="55" applyFont="1" applyBorder="1" applyAlignment="1" applyProtection="1">
      <alignment horizontal="right"/>
      <protection/>
    </xf>
    <xf numFmtId="173" fontId="16" fillId="0" borderId="45" xfId="55" applyFont="1" applyBorder="1" applyAlignment="1" applyProtection="1">
      <alignment horizontal="right"/>
      <protection/>
    </xf>
    <xf numFmtId="0" fontId="14" fillId="0" borderId="107" xfId="0" applyNumberFormat="1" applyFont="1" applyBorder="1" applyAlignment="1">
      <alignment horizontal="center"/>
    </xf>
    <xf numFmtId="0" fontId="14" fillId="0" borderId="108" xfId="0" applyNumberFormat="1" applyFont="1" applyBorder="1" applyAlignment="1">
      <alignment horizontal="center"/>
    </xf>
    <xf numFmtId="0" fontId="14" fillId="0" borderId="109" xfId="0" applyNumberFormat="1" applyFont="1" applyBorder="1" applyAlignment="1">
      <alignment horizontal="center"/>
    </xf>
    <xf numFmtId="173" fontId="8" fillId="0" borderId="0" xfId="55" applyFont="1" applyFill="1" applyBorder="1" applyAlignment="1" applyProtection="1">
      <alignment horizontal="center"/>
      <protection/>
    </xf>
    <xf numFmtId="0" fontId="1" fillId="0" borderId="110" xfId="0" applyFont="1" applyBorder="1" applyAlignment="1" applyProtection="1">
      <alignment/>
      <protection locked="0"/>
    </xf>
    <xf numFmtId="0" fontId="1" fillId="0" borderId="53" xfId="0" applyFont="1" applyBorder="1" applyAlignment="1" applyProtection="1">
      <alignment/>
      <protection locked="0"/>
    </xf>
    <xf numFmtId="173" fontId="8" fillId="0" borderId="0" xfId="55" applyFont="1" applyBorder="1" applyAlignment="1" applyProtection="1">
      <alignment horizontal="center"/>
      <protection/>
    </xf>
    <xf numFmtId="173" fontId="8" fillId="0" borderId="0" xfId="55" applyFont="1" applyBorder="1" applyAlignment="1" applyProtection="1" quotePrefix="1">
      <alignment horizontal="center"/>
      <protection/>
    </xf>
    <xf numFmtId="173" fontId="8" fillId="0" borderId="53" xfId="55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173" fontId="8" fillId="0" borderId="14" xfId="55" applyFont="1" applyBorder="1" applyAlignment="1" applyProtection="1">
      <alignment horizontal="center"/>
      <protection/>
    </xf>
    <xf numFmtId="173" fontId="8" fillId="0" borderId="30" xfId="55" applyFont="1" applyBorder="1" applyAlignment="1" applyProtection="1">
      <alignment horizontal="center"/>
      <protection/>
    </xf>
    <xf numFmtId="173" fontId="8" fillId="0" borderId="26" xfId="55" applyFont="1" applyBorder="1" applyAlignment="1" applyProtection="1">
      <alignment horizontal="center"/>
      <protection/>
    </xf>
    <xf numFmtId="173" fontId="8" fillId="0" borderId="57" xfId="55" applyFont="1" applyBorder="1" applyAlignment="1" applyProtection="1">
      <alignment horizontal="center"/>
      <protection/>
    </xf>
    <xf numFmtId="173" fontId="3" fillId="0" borderId="111" xfId="55" applyFont="1" applyBorder="1" applyAlignment="1" applyProtection="1">
      <alignment horizontal="center"/>
      <protection/>
    </xf>
    <xf numFmtId="173" fontId="8" fillId="0" borderId="111" xfId="55" applyFont="1" applyBorder="1" applyAlignment="1" applyProtection="1">
      <alignment horizontal="center"/>
      <protection/>
    </xf>
    <xf numFmtId="173" fontId="8" fillId="40" borderId="10" xfId="55" applyFont="1" applyFill="1" applyBorder="1" applyAlignment="1" applyProtection="1">
      <alignment horizontal="center"/>
      <protection/>
    </xf>
    <xf numFmtId="173" fontId="8" fillId="40" borderId="112" xfId="55" applyFont="1" applyFill="1" applyBorder="1" applyAlignment="1" applyProtection="1">
      <alignment horizontal="center"/>
      <protection/>
    </xf>
    <xf numFmtId="0" fontId="9" fillId="0" borderId="113" xfId="0" applyFont="1" applyBorder="1" applyAlignment="1">
      <alignment/>
    </xf>
    <xf numFmtId="0" fontId="10" fillId="0" borderId="21" xfId="0" applyFont="1" applyBorder="1" applyAlignment="1">
      <alignment horizontal="left" indent="1"/>
    </xf>
    <xf numFmtId="0" fontId="9" fillId="0" borderId="10" xfId="0" applyFont="1" applyBorder="1" applyAlignment="1">
      <alignment/>
    </xf>
    <xf numFmtId="0" fontId="9" fillId="0" borderId="114" xfId="0" applyFont="1" applyBorder="1" applyAlignment="1">
      <alignment/>
    </xf>
    <xf numFmtId="0" fontId="23" fillId="0" borderId="0" xfId="0" applyFont="1" applyAlignment="1">
      <alignment/>
    </xf>
    <xf numFmtId="0" fontId="26" fillId="37" borderId="0" xfId="0" applyFont="1" applyFill="1" applyAlignment="1">
      <alignment/>
    </xf>
    <xf numFmtId="0" fontId="26" fillId="38" borderId="0" xfId="0" applyFont="1" applyFill="1" applyAlignment="1">
      <alignment/>
    </xf>
    <xf numFmtId="173" fontId="6" fillId="40" borderId="115" xfId="55" applyFont="1" applyFill="1" applyBorder="1" applyAlignment="1" applyProtection="1">
      <alignment horizontal="left"/>
      <protection locked="0"/>
    </xf>
    <xf numFmtId="173" fontId="6" fillId="40" borderId="16" xfId="55" applyFont="1" applyFill="1" applyBorder="1" applyAlignment="1" applyProtection="1">
      <alignment horizontal="left"/>
      <protection locked="0"/>
    </xf>
    <xf numFmtId="173" fontId="6" fillId="40" borderId="16" xfId="55" applyFont="1" applyFill="1" applyBorder="1" applyAlignment="1" applyProtection="1">
      <alignment horizontal="left" wrapText="1"/>
      <protection locked="0"/>
    </xf>
    <xf numFmtId="173" fontId="6" fillId="40" borderId="53" xfId="55" applyFont="1" applyFill="1" applyBorder="1" applyAlignment="1" applyProtection="1">
      <alignment horizontal="left"/>
      <protection locked="0"/>
    </xf>
    <xf numFmtId="173" fontId="15" fillId="40" borderId="29" xfId="55" applyFont="1" applyFill="1" applyBorder="1" applyAlignment="1" applyProtection="1" quotePrefix="1">
      <alignment horizontal="center"/>
      <protection locked="0"/>
    </xf>
    <xf numFmtId="173" fontId="18" fillId="0" borderId="21" xfId="55" applyFont="1" applyBorder="1" applyAlignment="1" applyProtection="1">
      <alignment horizontal="center"/>
      <protection locked="0"/>
    </xf>
    <xf numFmtId="173" fontId="15" fillId="40" borderId="41" xfId="55" applyFont="1" applyFill="1" applyBorder="1" applyAlignment="1" applyProtection="1">
      <alignment horizontal="center"/>
      <protection locked="0"/>
    </xf>
    <xf numFmtId="173" fontId="18" fillId="0" borderId="15" xfId="55" applyFont="1" applyBorder="1" applyAlignment="1" applyProtection="1">
      <alignment horizontal="center"/>
      <protection locked="0"/>
    </xf>
    <xf numFmtId="173" fontId="18" fillId="0" borderId="14" xfId="55" applyFont="1" applyBorder="1" applyAlignment="1" applyProtection="1">
      <alignment horizontal="center"/>
      <protection locked="0"/>
    </xf>
    <xf numFmtId="173" fontId="15" fillId="40" borderId="29" xfId="55" applyFont="1" applyFill="1" applyBorder="1" applyAlignment="1" applyProtection="1">
      <alignment horizontal="center"/>
      <protection locked="0"/>
    </xf>
    <xf numFmtId="173" fontId="18" fillId="0" borderId="56" xfId="55" applyFont="1" applyBorder="1" applyAlignment="1" applyProtection="1">
      <alignment horizontal="center"/>
      <protection locked="0"/>
    </xf>
    <xf numFmtId="173" fontId="15" fillId="40" borderId="60" xfId="55" applyFont="1" applyFill="1" applyBorder="1" applyAlignment="1" applyProtection="1">
      <alignment horizontal="center"/>
      <protection locked="0"/>
    </xf>
    <xf numFmtId="173" fontId="18" fillId="0" borderId="17" xfId="55" applyFont="1" applyBorder="1" applyAlignment="1" applyProtection="1">
      <alignment horizontal="center"/>
      <protection locked="0"/>
    </xf>
    <xf numFmtId="173" fontId="18" fillId="0" borderId="16" xfId="55" applyFont="1" applyBorder="1" applyAlignment="1" applyProtection="1">
      <alignment horizontal="center"/>
      <protection locked="0"/>
    </xf>
    <xf numFmtId="173" fontId="15" fillId="40" borderId="63" xfId="55" applyFont="1" applyFill="1" applyBorder="1" applyAlignment="1" applyProtection="1">
      <alignment horizontal="center"/>
      <protection locked="0"/>
    </xf>
    <xf numFmtId="173" fontId="18" fillId="0" borderId="116" xfId="55" applyFont="1" applyBorder="1" applyAlignment="1" applyProtection="1">
      <alignment horizontal="center"/>
      <protection locked="0"/>
    </xf>
    <xf numFmtId="173" fontId="15" fillId="33" borderId="29" xfId="55" applyFont="1" applyFill="1" applyBorder="1" applyAlignment="1" applyProtection="1">
      <alignment horizontal="center"/>
      <protection locked="0"/>
    </xf>
    <xf numFmtId="173" fontId="18" fillId="33" borderId="21" xfId="55" applyFont="1" applyFill="1" applyBorder="1" applyAlignment="1" applyProtection="1">
      <alignment horizontal="center"/>
      <protection locked="0"/>
    </xf>
    <xf numFmtId="173" fontId="15" fillId="33" borderId="41" xfId="55" applyFont="1" applyFill="1" applyBorder="1" applyAlignment="1" applyProtection="1">
      <alignment horizontal="center"/>
      <protection locked="0"/>
    </xf>
    <xf numFmtId="173" fontId="18" fillId="33" borderId="15" xfId="55" applyFont="1" applyFill="1" applyBorder="1" applyAlignment="1" applyProtection="1">
      <alignment horizontal="center"/>
      <protection locked="0"/>
    </xf>
    <xf numFmtId="173" fontId="18" fillId="33" borderId="14" xfId="55" applyFont="1" applyFill="1" applyBorder="1" applyAlignment="1" applyProtection="1">
      <alignment horizontal="center"/>
      <protection locked="0"/>
    </xf>
    <xf numFmtId="173" fontId="18" fillId="33" borderId="56" xfId="55" applyFont="1" applyFill="1" applyBorder="1" applyAlignment="1" applyProtection="1">
      <alignment horizontal="center"/>
      <protection locked="0"/>
    </xf>
    <xf numFmtId="173" fontId="15" fillId="33" borderId="59" xfId="55" applyFont="1" applyFill="1" applyBorder="1" applyAlignment="1" applyProtection="1">
      <alignment horizontal="center"/>
      <protection locked="0"/>
    </xf>
    <xf numFmtId="173" fontId="18" fillId="33" borderId="55" xfId="55" applyFont="1" applyFill="1" applyBorder="1" applyAlignment="1" applyProtection="1">
      <alignment horizontal="center"/>
      <protection locked="0"/>
    </xf>
    <xf numFmtId="173" fontId="15" fillId="33" borderId="59" xfId="55" applyFont="1" applyFill="1" applyBorder="1" applyAlignment="1" applyProtection="1" quotePrefix="1">
      <alignment horizontal="center"/>
      <protection locked="0"/>
    </xf>
    <xf numFmtId="173" fontId="18" fillId="33" borderId="38" xfId="55" applyFont="1" applyFill="1" applyBorder="1" applyAlignment="1" applyProtection="1">
      <alignment horizontal="center"/>
      <protection locked="0"/>
    </xf>
    <xf numFmtId="173" fontId="6" fillId="0" borderId="63" xfId="55" applyFont="1" applyBorder="1" applyAlignment="1" applyProtection="1">
      <alignment horizontal="center"/>
      <protection/>
    </xf>
    <xf numFmtId="173" fontId="6" fillId="0" borderId="116" xfId="55" applyFont="1" applyBorder="1" applyAlignment="1" applyProtection="1">
      <alignment horizontal="center"/>
      <protection/>
    </xf>
    <xf numFmtId="173" fontId="6" fillId="0" borderId="63" xfId="55" applyFont="1" applyBorder="1" applyAlignment="1" applyProtection="1" quotePrefix="1">
      <alignment horizontal="center"/>
      <protection/>
    </xf>
    <xf numFmtId="0" fontId="10" fillId="0" borderId="116" xfId="0" applyFont="1" applyBorder="1" applyAlignment="1">
      <alignment horizontal="center"/>
    </xf>
    <xf numFmtId="173" fontId="7" fillId="0" borderId="117" xfId="55" applyFont="1" applyBorder="1" applyAlignment="1" quotePrefix="1">
      <alignment horizontal="center"/>
      <protection/>
    </xf>
    <xf numFmtId="173" fontId="7" fillId="0" borderId="42" xfId="55" applyFont="1" applyBorder="1" applyAlignment="1">
      <alignment horizontal="center"/>
      <protection/>
    </xf>
    <xf numFmtId="173" fontId="6" fillId="0" borderId="117" xfId="55" applyFont="1" applyBorder="1" applyAlignment="1" applyProtection="1" quotePrefix="1">
      <alignment horizontal="center"/>
      <protection/>
    </xf>
    <xf numFmtId="0" fontId="0" fillId="0" borderId="42" xfId="0" applyBorder="1" applyAlignment="1">
      <alignment horizontal="center"/>
    </xf>
    <xf numFmtId="173" fontId="7" fillId="0" borderId="63" xfId="55" applyFont="1" applyBorder="1" applyAlignment="1">
      <alignment horizontal="center"/>
      <protection/>
    </xf>
    <xf numFmtId="0" fontId="0" fillId="0" borderId="118" xfId="0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73" fontId="8" fillId="0" borderId="117" xfId="55" applyFont="1" applyBorder="1" applyAlignment="1" applyProtection="1">
      <alignment horizontal="center"/>
      <protection/>
    </xf>
    <xf numFmtId="173" fontId="8" fillId="0" borderId="42" xfId="55" applyFont="1" applyBorder="1" applyAlignment="1" applyProtection="1">
      <alignment horizontal="center"/>
      <protection/>
    </xf>
    <xf numFmtId="0" fontId="9" fillId="0" borderId="120" xfId="0" applyFont="1" applyBorder="1" applyAlignment="1">
      <alignment horizontal="center"/>
    </xf>
    <xf numFmtId="0" fontId="9" fillId="0" borderId="121" xfId="0" applyFont="1" applyBorder="1" applyAlignment="1">
      <alignment horizontal="center"/>
    </xf>
    <xf numFmtId="173" fontId="6" fillId="0" borderId="117" xfId="55" applyFont="1" applyBorder="1" applyAlignment="1" applyProtection="1">
      <alignment horizontal="center"/>
      <protection/>
    </xf>
    <xf numFmtId="173" fontId="12" fillId="0" borderId="122" xfId="55" applyFont="1" applyFill="1" applyBorder="1" applyAlignment="1" applyProtection="1">
      <alignment horizontal="center"/>
      <protection/>
    </xf>
    <xf numFmtId="0" fontId="13" fillId="0" borderId="38" xfId="0" applyFont="1" applyFill="1" applyBorder="1" applyAlignment="1">
      <alignment horizontal="center"/>
    </xf>
    <xf numFmtId="0" fontId="5" fillId="0" borderId="123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172" fontId="12" fillId="0" borderId="119" xfId="55" applyNumberFormat="1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>
      <alignment horizontal="center"/>
    </xf>
    <xf numFmtId="172" fontId="14" fillId="0" borderId="18" xfId="0" applyNumberFormat="1" applyFont="1" applyBorder="1" applyAlignment="1">
      <alignment horizontal="left"/>
    </xf>
    <xf numFmtId="172" fontId="14" fillId="0" borderId="116" xfId="0" applyNumberFormat="1" applyFont="1" applyBorder="1" applyAlignment="1">
      <alignment horizontal="left"/>
    </xf>
    <xf numFmtId="173" fontId="12" fillId="0" borderId="18" xfId="55" applyFont="1" applyFill="1" applyBorder="1" applyAlignment="1">
      <alignment horizontal="left"/>
      <protection/>
    </xf>
    <xf numFmtId="0" fontId="13" fillId="0" borderId="18" xfId="0" applyFont="1" applyFill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18" xfId="0" applyFont="1" applyBorder="1" applyAlignment="1">
      <alignment horizontal="left"/>
    </xf>
    <xf numFmtId="173" fontId="7" fillId="0" borderId="38" xfId="55" applyFont="1" applyBorder="1" applyAlignment="1" quotePrefix="1">
      <alignment horizontal="center"/>
      <protection/>
    </xf>
    <xf numFmtId="173" fontId="7" fillId="0" borderId="38" xfId="55" applyFont="1" applyBorder="1" applyAlignment="1">
      <alignment horizontal="center"/>
      <protection/>
    </xf>
    <xf numFmtId="173" fontId="6" fillId="0" borderId="59" xfId="55" applyFont="1" applyBorder="1" applyAlignment="1" applyProtection="1" quotePrefix="1">
      <alignment horizontal="center"/>
      <protection/>
    </xf>
    <xf numFmtId="173" fontId="7" fillId="0" borderId="41" xfId="55" applyFont="1" applyBorder="1" applyAlignment="1">
      <alignment horizontal="center"/>
      <protection/>
    </xf>
    <xf numFmtId="0" fontId="0" fillId="0" borderId="124" xfId="0" applyBorder="1" applyAlignment="1">
      <alignment horizontal="center"/>
    </xf>
    <xf numFmtId="173" fontId="6" fillId="0" borderId="59" xfId="55" applyFont="1" applyBorder="1" applyAlignment="1" applyProtection="1">
      <alignment horizontal="center"/>
      <protection/>
    </xf>
    <xf numFmtId="173" fontId="7" fillId="0" borderId="55" xfId="55" applyFont="1" applyBorder="1" applyAlignment="1">
      <alignment horizontal="center"/>
      <protection/>
    </xf>
    <xf numFmtId="173" fontId="6" fillId="0" borderId="38" xfId="55" applyFont="1" applyBorder="1" applyAlignment="1" applyProtection="1">
      <alignment horizontal="center"/>
      <protection/>
    </xf>
    <xf numFmtId="173" fontId="6" fillId="40" borderId="29" xfId="55" applyFont="1" applyFill="1" applyBorder="1" applyAlignment="1" applyProtection="1">
      <alignment horizontal="center"/>
      <protection locked="0"/>
    </xf>
    <xf numFmtId="173" fontId="7" fillId="0" borderId="56" xfId="55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18" xfId="0" applyBorder="1" applyAlignment="1" applyProtection="1">
      <alignment horizontal="center"/>
      <protection locked="0"/>
    </xf>
    <xf numFmtId="173" fontId="7" fillId="0" borderId="21" xfId="55" applyFont="1" applyBorder="1" applyAlignment="1" applyProtection="1">
      <alignment horizontal="center"/>
      <protection locked="0"/>
    </xf>
    <xf numFmtId="173" fontId="6" fillId="40" borderId="41" xfId="55" applyFont="1" applyFill="1" applyBorder="1" applyAlignment="1" applyProtection="1">
      <alignment horizontal="center"/>
      <protection locked="0"/>
    </xf>
    <xf numFmtId="173" fontId="7" fillId="0" borderId="15" xfId="55" applyFont="1" applyBorder="1" applyAlignment="1" applyProtection="1">
      <alignment horizontal="center"/>
      <protection locked="0"/>
    </xf>
    <xf numFmtId="173" fontId="7" fillId="0" borderId="14" xfId="55" applyFont="1" applyBorder="1" applyAlignment="1" applyProtection="1">
      <alignment horizontal="center"/>
      <protection locked="0"/>
    </xf>
    <xf numFmtId="173" fontId="6" fillId="40" borderId="29" xfId="55" applyFont="1" applyFill="1" applyBorder="1" applyAlignment="1" applyProtection="1" quotePrefix="1">
      <alignment horizontal="center"/>
      <protection locked="0"/>
    </xf>
    <xf numFmtId="173" fontId="6" fillId="40" borderId="60" xfId="55" applyFont="1" applyFill="1" applyBorder="1" applyAlignment="1" applyProtection="1">
      <alignment horizontal="center"/>
      <protection locked="0"/>
    </xf>
    <xf numFmtId="173" fontId="7" fillId="0" borderId="17" xfId="55" applyFont="1" applyBorder="1" applyAlignment="1" applyProtection="1">
      <alignment horizontal="center"/>
      <protection locked="0"/>
    </xf>
    <xf numFmtId="173" fontId="7" fillId="0" borderId="16" xfId="55" applyFont="1" applyBorder="1" applyAlignment="1" applyProtection="1">
      <alignment horizontal="center"/>
      <protection locked="0"/>
    </xf>
    <xf numFmtId="173" fontId="6" fillId="40" borderId="60" xfId="55" applyFont="1" applyFill="1" applyBorder="1" applyAlignment="1" applyProtection="1" quotePrefix="1">
      <alignment horizontal="center"/>
      <protection locked="0"/>
    </xf>
    <xf numFmtId="173" fontId="25" fillId="40" borderId="26" xfId="55" applyFont="1" applyFill="1" applyBorder="1" applyAlignment="1" applyProtection="1">
      <alignment horizontal="center"/>
      <protection locked="0"/>
    </xf>
    <xf numFmtId="173" fontId="25" fillId="40" borderId="27" xfId="55" applyFont="1" applyFill="1" applyBorder="1" applyAlignment="1" applyProtection="1">
      <alignment horizontal="center"/>
      <protection locked="0"/>
    </xf>
    <xf numFmtId="173" fontId="25" fillId="40" borderId="57" xfId="55" applyFont="1" applyFill="1" applyBorder="1" applyAlignment="1" applyProtection="1">
      <alignment horizontal="center"/>
      <protection locked="0"/>
    </xf>
    <xf numFmtId="173" fontId="25" fillId="40" borderId="58" xfId="55" applyFont="1" applyFill="1" applyBorder="1" applyAlignment="1" applyProtection="1">
      <alignment horizontal="center"/>
      <protection locked="0"/>
    </xf>
    <xf numFmtId="173" fontId="6" fillId="0" borderId="41" xfId="55" applyFont="1" applyBorder="1" applyAlignment="1" applyProtection="1">
      <alignment horizontal="center"/>
      <protection/>
    </xf>
    <xf numFmtId="173" fontId="6" fillId="0" borderId="15" xfId="55" applyFont="1" applyBorder="1" applyAlignment="1" applyProtection="1">
      <alignment horizontal="center"/>
      <protection/>
    </xf>
    <xf numFmtId="173" fontId="6" fillId="0" borderId="41" xfId="55" applyFont="1" applyBorder="1" applyAlignment="1" applyProtection="1" quotePrefix="1">
      <alignment horizontal="center"/>
      <protection/>
    </xf>
    <xf numFmtId="173" fontId="24" fillId="0" borderId="38" xfId="55" applyFont="1" applyBorder="1" applyAlignment="1">
      <alignment horizontal="center"/>
      <protection/>
    </xf>
    <xf numFmtId="173" fontId="8" fillId="0" borderId="59" xfId="55" applyFont="1" applyBorder="1" applyAlignment="1" applyProtection="1">
      <alignment horizontal="center"/>
      <protection/>
    </xf>
    <xf numFmtId="173" fontId="24" fillId="0" borderId="55" xfId="55" applyFont="1" applyBorder="1" applyAlignment="1">
      <alignment horizontal="center"/>
      <protection/>
    </xf>
    <xf numFmtId="173" fontId="8" fillId="0" borderId="38" xfId="55" applyFont="1" applyBorder="1" applyAlignment="1" applyProtection="1">
      <alignment horizontal="center"/>
      <protection/>
    </xf>
    <xf numFmtId="173" fontId="7" fillId="0" borderId="117" xfId="55" applyFont="1" applyBorder="1" applyAlignment="1">
      <alignment horizontal="center"/>
      <protection/>
    </xf>
    <xf numFmtId="0" fontId="1" fillId="0" borderId="38" xfId="0" applyFont="1" applyBorder="1" applyAlignment="1" applyProtection="1">
      <alignment horizontal="left"/>
      <protection locked="0"/>
    </xf>
    <xf numFmtId="0" fontId="0" fillId="0" borderId="38" xfId="0" applyBorder="1" applyAlignment="1">
      <alignment/>
    </xf>
    <xf numFmtId="0" fontId="0" fillId="0" borderId="55" xfId="0" applyBorder="1" applyAlignment="1">
      <alignment/>
    </xf>
    <xf numFmtId="0" fontId="2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4" xfId="0" applyBorder="1" applyAlignment="1" applyProtection="1">
      <alignment horizontal="center"/>
      <protection locked="0"/>
    </xf>
    <xf numFmtId="172" fontId="3" fillId="0" borderId="18" xfId="0" applyNumberFormat="1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0" fontId="25" fillId="0" borderId="18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 horizontal="left"/>
      <protection/>
    </xf>
    <xf numFmtId="0" fontId="10" fillId="0" borderId="50" xfId="0" applyFont="1" applyBorder="1" applyAlignment="1" applyProtection="1">
      <alignment horizontal="left"/>
      <protection/>
    </xf>
    <xf numFmtId="172" fontId="3" fillId="0" borderId="119" xfId="0" applyNumberFormat="1" applyFont="1" applyBorder="1" applyAlignment="1" applyProtection="1">
      <alignment horizontal="center"/>
      <protection locked="0"/>
    </xf>
    <xf numFmtId="0" fontId="10" fillId="0" borderId="50" xfId="0" applyFont="1" applyBorder="1" applyAlignment="1">
      <alignment horizontal="left"/>
    </xf>
    <xf numFmtId="173" fontId="6" fillId="40" borderId="59" xfId="55" applyFont="1" applyFill="1" applyBorder="1" applyAlignment="1" applyProtection="1" quotePrefix="1">
      <alignment horizontal="center"/>
      <protection locked="0"/>
    </xf>
    <xf numFmtId="173" fontId="7" fillId="0" borderId="55" xfId="55" applyFont="1" applyBorder="1" applyAlignment="1" applyProtection="1">
      <alignment horizontal="center"/>
      <protection locked="0"/>
    </xf>
    <xf numFmtId="173" fontId="6" fillId="40" borderId="59" xfId="55" applyFont="1" applyFill="1" applyBorder="1" applyAlignment="1" applyProtection="1">
      <alignment horizontal="center"/>
      <protection locked="0"/>
    </xf>
    <xf numFmtId="173" fontId="8" fillId="0" borderId="37" xfId="55" applyFont="1" applyBorder="1" applyAlignment="1" applyProtection="1">
      <alignment horizontal="center"/>
      <protection/>
    </xf>
    <xf numFmtId="173" fontId="24" fillId="0" borderId="40" xfId="55" applyFont="1" applyBorder="1" applyAlignment="1">
      <alignment horizontal="center"/>
      <protection/>
    </xf>
    <xf numFmtId="173" fontId="8" fillId="0" borderId="40" xfId="55" applyFont="1" applyBorder="1" applyAlignment="1" applyProtection="1">
      <alignment horizontal="center"/>
      <protection/>
    </xf>
    <xf numFmtId="173" fontId="6" fillId="0" borderId="40" xfId="55" applyFont="1" applyBorder="1" applyAlignment="1" applyProtection="1">
      <alignment horizontal="center"/>
      <protection/>
    </xf>
    <xf numFmtId="173" fontId="7" fillId="0" borderId="125" xfId="55" applyFont="1" applyBorder="1" applyAlignment="1">
      <alignment horizontal="center"/>
      <protection/>
    </xf>
    <xf numFmtId="172" fontId="3" fillId="0" borderId="126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172" fontId="14" fillId="0" borderId="14" xfId="0" applyNumberFormat="1" applyFont="1" applyBorder="1" applyAlignment="1" applyProtection="1">
      <alignment horizontal="left"/>
      <protection locked="0"/>
    </xf>
    <xf numFmtId="172" fontId="14" fillId="0" borderId="15" xfId="0" applyNumberFormat="1" applyFont="1" applyBorder="1" applyAlignment="1" applyProtection="1">
      <alignment horizontal="left"/>
      <protection locked="0"/>
    </xf>
    <xf numFmtId="20" fontId="25" fillId="0" borderId="14" xfId="0" applyNumberFormat="1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58" xfId="0" applyFont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i_LohkoKaavio_4-5_makro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57150</xdr:rowOff>
    </xdr:from>
    <xdr:to>
      <xdr:col>19</xdr:col>
      <xdr:colOff>114300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57150"/>
          <a:ext cx="1304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1:AK124"/>
  <sheetViews>
    <sheetView tabSelected="1" zoomScaleSheetLayoutView="100" zoomScalePageLayoutView="0" workbookViewId="0" topLeftCell="A1">
      <selection activeCell="U121" sqref="U121"/>
    </sheetView>
  </sheetViews>
  <sheetFormatPr defaultColWidth="8.88671875" defaultRowHeight="15"/>
  <cols>
    <col min="1" max="1" width="3.5546875" style="0" customWidth="1"/>
    <col min="2" max="2" width="4.10546875" style="0" customWidth="1"/>
    <col min="3" max="3" width="3.21484375" style="0" customWidth="1"/>
    <col min="4" max="4" width="2.6640625" style="0" customWidth="1"/>
    <col min="5" max="5" width="17.77734375" style="0" customWidth="1"/>
    <col min="6" max="6" width="9.77734375" style="0" customWidth="1"/>
    <col min="7" max="22" width="2.77734375" style="0" customWidth="1"/>
    <col min="23" max="37" width="3.10546875" style="0" customWidth="1"/>
  </cols>
  <sheetData>
    <row r="1" spans="2:30" ht="18">
      <c r="B1" s="43" t="s">
        <v>41</v>
      </c>
      <c r="G1" s="230" t="s">
        <v>70</v>
      </c>
      <c r="U1" s="285" t="s">
        <v>65</v>
      </c>
      <c r="V1" s="49"/>
      <c r="W1" s="49"/>
      <c r="X1" s="49"/>
      <c r="Y1" s="49"/>
      <c r="Z1" s="49"/>
      <c r="AA1" s="49"/>
      <c r="AB1" s="49"/>
      <c r="AC1" s="49"/>
      <c r="AD1" s="49"/>
    </row>
    <row r="2" spans="2:21" ht="15">
      <c r="B2" s="287" t="s">
        <v>42</v>
      </c>
      <c r="C2" s="45"/>
      <c r="D2" s="45"/>
      <c r="E2" s="45"/>
      <c r="F2" s="45"/>
      <c r="U2" t="s">
        <v>66</v>
      </c>
    </row>
    <row r="3" spans="2:28" ht="15">
      <c r="B3" s="286" t="s">
        <v>60</v>
      </c>
      <c r="C3" s="46"/>
      <c r="D3" s="46"/>
      <c r="E3" s="46"/>
      <c r="F3" s="46"/>
      <c r="G3" s="46"/>
      <c r="H3" s="46"/>
      <c r="I3" s="46"/>
      <c r="J3" s="44"/>
      <c r="K3" s="44"/>
      <c r="L3" s="44"/>
      <c r="M3" s="44"/>
      <c r="U3" s="285" t="s">
        <v>64</v>
      </c>
      <c r="AB3" s="236"/>
    </row>
    <row r="4" ht="16.5" thickBot="1">
      <c r="F4" s="229" t="s">
        <v>63</v>
      </c>
    </row>
    <row r="5" spans="3:22" ht="15.75">
      <c r="C5" s="114"/>
      <c r="D5" s="265"/>
      <c r="E5" s="112" t="s">
        <v>72</v>
      </c>
      <c r="F5" s="52"/>
      <c r="G5" s="52"/>
      <c r="H5" s="52"/>
      <c r="I5" s="53"/>
      <c r="J5" s="52"/>
      <c r="K5" s="54"/>
      <c r="L5" s="54"/>
      <c r="M5" s="378"/>
      <c r="N5" s="379"/>
      <c r="O5" s="379"/>
      <c r="P5" s="380"/>
      <c r="Q5" s="56" t="s">
        <v>0</v>
      </c>
      <c r="R5" s="57"/>
      <c r="S5" s="381" t="s">
        <v>43</v>
      </c>
      <c r="T5" s="382"/>
      <c r="U5" s="382"/>
      <c r="V5" s="383"/>
    </row>
    <row r="6" spans="3:22" ht="16.5" thickBot="1">
      <c r="C6" s="115"/>
      <c r="D6" s="266"/>
      <c r="E6" s="113" t="s">
        <v>61</v>
      </c>
      <c r="F6" s="58" t="s">
        <v>1</v>
      </c>
      <c r="G6" s="384"/>
      <c r="H6" s="385"/>
      <c r="I6" s="386"/>
      <c r="J6" s="402" t="s">
        <v>2</v>
      </c>
      <c r="K6" s="403"/>
      <c r="L6" s="403"/>
      <c r="M6" s="404">
        <v>40671</v>
      </c>
      <c r="N6" s="404"/>
      <c r="O6" s="404"/>
      <c r="P6" s="405"/>
      <c r="Q6" s="59" t="s">
        <v>3</v>
      </c>
      <c r="R6" s="60"/>
      <c r="S6" s="406" t="s">
        <v>68</v>
      </c>
      <c r="T6" s="407"/>
      <c r="U6" s="407"/>
      <c r="V6" s="408"/>
    </row>
    <row r="7" spans="3:25" ht="15">
      <c r="C7" s="62"/>
      <c r="D7" s="278" t="s">
        <v>69</v>
      </c>
      <c r="E7" s="206" t="s">
        <v>4</v>
      </c>
      <c r="F7" s="209" t="s">
        <v>5</v>
      </c>
      <c r="G7" s="397" t="s">
        <v>6</v>
      </c>
      <c r="H7" s="398"/>
      <c r="I7" s="399" t="s">
        <v>7</v>
      </c>
      <c r="J7" s="398"/>
      <c r="K7" s="399" t="s">
        <v>8</v>
      </c>
      <c r="L7" s="398"/>
      <c r="M7" s="399" t="s">
        <v>9</v>
      </c>
      <c r="N7" s="398"/>
      <c r="O7" s="400"/>
      <c r="P7" s="401"/>
      <c r="Q7" s="63" t="s">
        <v>10</v>
      </c>
      <c r="R7" s="64" t="s">
        <v>11</v>
      </c>
      <c r="S7" s="326" t="s">
        <v>12</v>
      </c>
      <c r="T7" s="321"/>
      <c r="U7" s="377" t="s">
        <v>13</v>
      </c>
      <c r="V7" s="319"/>
      <c r="W7" s="328" t="s">
        <v>14</v>
      </c>
      <c r="X7" s="329"/>
      <c r="Y7" s="1" t="s">
        <v>15</v>
      </c>
    </row>
    <row r="8" spans="2:28" ht="15">
      <c r="B8" s="50">
        <f>U8</f>
        <v>2</v>
      </c>
      <c r="C8" s="274" t="s">
        <v>6</v>
      </c>
      <c r="D8" s="279"/>
      <c r="E8" s="289" t="s">
        <v>73</v>
      </c>
      <c r="F8" s="231" t="s">
        <v>74</v>
      </c>
      <c r="G8" s="97"/>
      <c r="H8" s="118"/>
      <c r="I8" s="121">
        <f>+S18</f>
        <v>3</v>
      </c>
      <c r="J8" s="119">
        <f>+T18</f>
        <v>0</v>
      </c>
      <c r="K8" s="121">
        <f>S14</f>
        <v>2</v>
      </c>
      <c r="L8" s="119">
        <f>T14</f>
        <v>3</v>
      </c>
      <c r="M8" s="121">
        <f>S16</f>
        <v>3</v>
      </c>
      <c r="N8" s="119">
        <f>T16</f>
        <v>2</v>
      </c>
      <c r="O8" s="99"/>
      <c r="P8" s="92"/>
      <c r="Q8" s="237">
        <f>IF(SUM(G8:P8)=0,"",COUNTIF(H8:H11,"3"))</f>
        <v>2</v>
      </c>
      <c r="R8" s="238">
        <f>IF(SUM(H8:Q8)=0,"",COUNTIF(G8:G11,"3"))</f>
        <v>1</v>
      </c>
      <c r="S8" s="2">
        <f>IF(SUM(G8:P8)=0,"",SUM(H8:H11))</f>
        <v>8</v>
      </c>
      <c r="T8" s="3">
        <f>IF(SUM(G8:P8)=0,"",SUM(G8:G11))</f>
        <v>5</v>
      </c>
      <c r="U8" s="366">
        <v>2</v>
      </c>
      <c r="V8" s="367"/>
      <c r="W8" s="4">
        <f>+W14+W16+W18</f>
        <v>136</v>
      </c>
      <c r="X8" s="4">
        <f>+X14+X16+X18</f>
        <v>126</v>
      </c>
      <c r="Y8" s="5">
        <f>+W8-X8</f>
        <v>10</v>
      </c>
      <c r="AA8" s="48"/>
      <c r="AB8" s="48"/>
    </row>
    <row r="9" spans="2:28" ht="15">
      <c r="B9" s="50">
        <f>U9</f>
        <v>4</v>
      </c>
      <c r="C9" s="275" t="s">
        <v>7</v>
      </c>
      <c r="D9" s="279"/>
      <c r="E9" s="290" t="s">
        <v>76</v>
      </c>
      <c r="F9" s="232" t="s">
        <v>75</v>
      </c>
      <c r="G9" s="100">
        <f>+T18</f>
        <v>0</v>
      </c>
      <c r="H9" s="119">
        <f>+S18</f>
        <v>3</v>
      </c>
      <c r="I9" s="122"/>
      <c r="J9" s="118"/>
      <c r="K9" s="121">
        <f>S17</f>
        <v>2</v>
      </c>
      <c r="L9" s="119">
        <f>T17</f>
        <v>3</v>
      </c>
      <c r="M9" s="121">
        <f>S15</f>
        <v>1</v>
      </c>
      <c r="N9" s="119">
        <f>T15</f>
        <v>3</v>
      </c>
      <c r="O9" s="99"/>
      <c r="P9" s="92"/>
      <c r="Q9" s="237">
        <f>IF(SUM(G9:P9)=0,"",COUNTIF(J8:J11,"3"))</f>
        <v>0</v>
      </c>
      <c r="R9" s="238">
        <f>IF(SUM(H9:Q9)=0,"",COUNTIF(I8:I11,"3"))</f>
        <v>3</v>
      </c>
      <c r="S9" s="2">
        <f>IF(SUM(G9:P9)=0,"",SUM(J8:J11))</f>
        <v>3</v>
      </c>
      <c r="T9" s="3">
        <f>IF(SUM(G9:P9)=0,"",SUM(I8:I11))</f>
        <v>9</v>
      </c>
      <c r="U9" s="366">
        <v>4</v>
      </c>
      <c r="V9" s="367"/>
      <c r="W9" s="4">
        <f>+W15+W17+X18</f>
        <v>104</v>
      </c>
      <c r="X9" s="4">
        <f>+X15+X17+W18</f>
        <v>128</v>
      </c>
      <c r="Y9" s="5">
        <f>+W9-X9</f>
        <v>-24</v>
      </c>
      <c r="AA9" s="48"/>
      <c r="AB9" s="48"/>
    </row>
    <row r="10" spans="2:28" ht="15">
      <c r="B10" s="50">
        <f>U10</f>
        <v>1</v>
      </c>
      <c r="C10" s="275" t="s">
        <v>8</v>
      </c>
      <c r="D10" s="279"/>
      <c r="E10" s="289" t="s">
        <v>78</v>
      </c>
      <c r="F10" s="231" t="s">
        <v>79</v>
      </c>
      <c r="G10" s="100">
        <f>+T14</f>
        <v>3</v>
      </c>
      <c r="H10" s="119">
        <f>+S14</f>
        <v>2</v>
      </c>
      <c r="I10" s="121">
        <f>T17</f>
        <v>3</v>
      </c>
      <c r="J10" s="119">
        <f>S17</f>
        <v>2</v>
      </c>
      <c r="K10" s="122"/>
      <c r="L10" s="118"/>
      <c r="M10" s="121">
        <f>S19</f>
        <v>3</v>
      </c>
      <c r="N10" s="119">
        <f>T19</f>
        <v>2</v>
      </c>
      <c r="O10" s="99"/>
      <c r="P10" s="92"/>
      <c r="Q10" s="237">
        <f>IF(SUM(G10:P10)=0,"",COUNTIF(L8:L11,"3"))</f>
        <v>3</v>
      </c>
      <c r="R10" s="238">
        <f>IF(SUM(H10:Q10)=0,"",COUNTIF(K8:K11,"3"))</f>
        <v>0</v>
      </c>
      <c r="S10" s="2">
        <f>IF(SUM(G10:P10)=0,"",SUM(L8:L11))</f>
        <v>9</v>
      </c>
      <c r="T10" s="3">
        <f>IF(SUM(G10:P10)=0,"",SUM(K8:K11))</f>
        <v>6</v>
      </c>
      <c r="U10" s="366">
        <v>1</v>
      </c>
      <c r="V10" s="367"/>
      <c r="W10" s="4">
        <f>+X14+X17+W19</f>
        <v>159</v>
      </c>
      <c r="X10" s="4">
        <f>+W14+W17+X19</f>
        <v>127</v>
      </c>
      <c r="Y10" s="5">
        <f>+W10-X10</f>
        <v>32</v>
      </c>
      <c r="AA10" s="48"/>
      <c r="AB10" s="48"/>
    </row>
    <row r="11" spans="2:28" ht="15.75" thickBot="1">
      <c r="B11" s="50">
        <f>U11</f>
        <v>3</v>
      </c>
      <c r="C11" s="276" t="s">
        <v>9</v>
      </c>
      <c r="D11" s="280"/>
      <c r="E11" s="291" t="s">
        <v>77</v>
      </c>
      <c r="F11" s="233" t="s">
        <v>75</v>
      </c>
      <c r="G11" s="101">
        <f>T16</f>
        <v>2</v>
      </c>
      <c r="H11" s="120">
        <f>S16</f>
        <v>3</v>
      </c>
      <c r="I11" s="123">
        <f>T15</f>
        <v>3</v>
      </c>
      <c r="J11" s="120">
        <f>S15</f>
        <v>1</v>
      </c>
      <c r="K11" s="123">
        <f>T19</f>
        <v>2</v>
      </c>
      <c r="L11" s="120">
        <f>S19</f>
        <v>3</v>
      </c>
      <c r="M11" s="124"/>
      <c r="N11" s="125"/>
      <c r="O11" s="102"/>
      <c r="P11" s="103"/>
      <c r="Q11" s="239">
        <f>IF(SUM(G11:P11)=0,"",COUNTIF(N8:N11,"3"))</f>
        <v>1</v>
      </c>
      <c r="R11" s="240">
        <f>IF(SUM(H11:Q11)=0,"",COUNTIF(M8:M11,"3"))</f>
        <v>2</v>
      </c>
      <c r="S11" s="70">
        <f>IF(SUM(G11:P12)=0,"",SUM(N8:N11))</f>
        <v>7</v>
      </c>
      <c r="T11" s="71">
        <f>IF(SUM(G11:P11)=0,"",SUM(M8:M11))</f>
        <v>7</v>
      </c>
      <c r="U11" s="368">
        <v>3</v>
      </c>
      <c r="V11" s="369"/>
      <c r="W11" s="4">
        <f>+X15+X16+X19</f>
        <v>126</v>
      </c>
      <c r="X11" s="4">
        <f>+W15+W16+W19</f>
        <v>144</v>
      </c>
      <c r="Y11" s="5">
        <f>+W11-X11</f>
        <v>-18</v>
      </c>
      <c r="AA11" s="48"/>
      <c r="AB11" s="48"/>
    </row>
    <row r="12" spans="3:27" ht="15">
      <c r="C12" s="72"/>
      <c r="D12" s="267"/>
      <c r="E12" s="96" t="s">
        <v>67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4"/>
      <c r="V12" s="79"/>
      <c r="W12" s="6"/>
      <c r="X12" s="7" t="s">
        <v>16</v>
      </c>
      <c r="Y12" s="8">
        <f>SUM(Y8:Y11)</f>
        <v>0</v>
      </c>
      <c r="Z12" s="7" t="str">
        <f>IF(Y12=0,"OK","Virhe")</f>
        <v>OK</v>
      </c>
      <c r="AA12" s="9"/>
    </row>
    <row r="13" spans="3:25" ht="15.75" thickBot="1">
      <c r="C13" s="75"/>
      <c r="D13" s="267"/>
      <c r="E13" s="95" t="s">
        <v>17</v>
      </c>
      <c r="F13" s="10"/>
      <c r="G13" s="10"/>
      <c r="H13" s="11"/>
      <c r="I13" s="370" t="s">
        <v>18</v>
      </c>
      <c r="J13" s="371"/>
      <c r="K13" s="372" t="s">
        <v>19</v>
      </c>
      <c r="L13" s="371"/>
      <c r="M13" s="372" t="s">
        <v>20</v>
      </c>
      <c r="N13" s="371"/>
      <c r="O13" s="372" t="s">
        <v>21</v>
      </c>
      <c r="P13" s="371"/>
      <c r="Q13" s="372" t="s">
        <v>22</v>
      </c>
      <c r="R13" s="371"/>
      <c r="S13" s="322" t="s">
        <v>23</v>
      </c>
      <c r="T13" s="317"/>
      <c r="U13" s="21"/>
      <c r="V13" s="80"/>
      <c r="W13" s="77" t="s">
        <v>14</v>
      </c>
      <c r="X13" s="12"/>
      <c r="Y13" s="1" t="s">
        <v>15</v>
      </c>
    </row>
    <row r="14" spans="3:37" ht="15">
      <c r="C14" s="76" t="s">
        <v>24</v>
      </c>
      <c r="D14" s="268"/>
      <c r="E14" s="108" t="str">
        <f>IF(E8&gt;"",E8,"")</f>
        <v>Mika Rauvola</v>
      </c>
      <c r="F14" s="104" t="str">
        <f>IF(E10&gt;"",E10,"")</f>
        <v>Leo Kivelä</v>
      </c>
      <c r="G14" s="73"/>
      <c r="H14" s="93"/>
      <c r="I14" s="396">
        <v>-6</v>
      </c>
      <c r="J14" s="395"/>
      <c r="K14" s="396">
        <v>17</v>
      </c>
      <c r="L14" s="395"/>
      <c r="M14" s="396">
        <v>-8</v>
      </c>
      <c r="N14" s="395"/>
      <c r="O14" s="396">
        <v>5</v>
      </c>
      <c r="P14" s="395"/>
      <c r="Q14" s="394">
        <v>-4</v>
      </c>
      <c r="R14" s="395"/>
      <c r="S14" s="241">
        <f aca="true" t="shared" si="0" ref="S14:S19">IF(COUNT(I14:Q14)=0,"",COUNTIF(I14:Q14,"&gt;=0"))</f>
        <v>2</v>
      </c>
      <c r="T14" s="242">
        <f aca="true" t="shared" si="1" ref="T14:T19">IF(COUNT(I14:Q14)=0,"",(IF(LEFT(I14,1)="-",1,0)+IF(LEFT(K14,1)="-",1,0)+IF(LEFT(M14,1)="-",1,0)+IF(LEFT(O14,1)="-",1,0)+IF(LEFT(Q14,1)="-",1,0)))</f>
        <v>3</v>
      </c>
      <c r="U14" s="15"/>
      <c r="V14" s="81"/>
      <c r="W14" s="78">
        <f aca="true" t="shared" si="2" ref="W14:X19">+AB14+AD14+AF14+AH14+AJ14</f>
        <v>48</v>
      </c>
      <c r="X14" s="16">
        <f t="shared" si="2"/>
        <v>55</v>
      </c>
      <c r="Y14" s="17">
        <f aca="true" t="shared" si="3" ref="Y14:Y19">+W14-X14</f>
        <v>-7</v>
      </c>
      <c r="AB14" s="18">
        <f>IF(I14="",0,IF(LEFT(I14,1)="-",ABS(I14),(IF(I14&gt;9,I14+2,11))))</f>
        <v>6</v>
      </c>
      <c r="AC14" s="19">
        <f aca="true" t="shared" si="4" ref="AC14:AC19">IF(I14="",0,IF(LEFT(I14,1)="-",(IF(ABS(I14)&gt;9,(ABS(I14)+2),11)),I14))</f>
        <v>11</v>
      </c>
      <c r="AD14" s="18">
        <f>IF(K14="",0,IF(LEFT(K14,1)="-",ABS(K14),(IF(K14&gt;9,K14+2,11))))</f>
        <v>19</v>
      </c>
      <c r="AE14" s="19">
        <f aca="true" t="shared" si="5" ref="AE14:AE19">IF(K14="",0,IF(LEFT(K14,1)="-",(IF(ABS(K14)&gt;9,(ABS(K14)+2),11)),K14))</f>
        <v>17</v>
      </c>
      <c r="AF14" s="18">
        <f>IF(M14="",0,IF(LEFT(M14,1)="-",ABS(M14),(IF(M14&gt;9,M14+2,11))))</f>
        <v>8</v>
      </c>
      <c r="AG14" s="19">
        <f aca="true" t="shared" si="6" ref="AG14:AG19">IF(M14="",0,IF(LEFT(M14,1)="-",(IF(ABS(M14)&gt;9,(ABS(M14)+2),11)),M14))</f>
        <v>11</v>
      </c>
      <c r="AH14" s="18">
        <f>IF(O14="",0,IF(LEFT(O14,1)="-",ABS(O14),(IF(O14&gt;9,O14+2,11))))</f>
        <v>11</v>
      </c>
      <c r="AI14" s="19">
        <f aca="true" t="shared" si="7" ref="AI14:AI19">IF(O14="",0,IF(LEFT(O14,1)="-",(IF(ABS(O14)&gt;9,(ABS(O14)+2),11)),O14))</f>
        <v>5</v>
      </c>
      <c r="AJ14" s="18">
        <f aca="true" t="shared" si="8" ref="AJ14:AJ19">IF(Q14="",0,IF(LEFT(Q14,1)="-",ABS(Q14),(IF(Q14&gt;9,Q14+2,11))))</f>
        <v>4</v>
      </c>
      <c r="AK14" s="19">
        <f aca="true" t="shared" si="9" ref="AK14:AK19">IF(Q14="",0,IF(LEFT(Q14,1)="-",(IF(ABS(Q14)&gt;9,(ABS(Q14)+2),11)),Q14))</f>
        <v>11</v>
      </c>
    </row>
    <row r="15" spans="3:37" ht="15">
      <c r="C15" s="76" t="s">
        <v>25</v>
      </c>
      <c r="D15" s="268"/>
      <c r="E15" s="109" t="str">
        <f>IF(E9&gt;"",E9,"")</f>
        <v>Chau Dinh Huy</v>
      </c>
      <c r="F15" s="105" t="str">
        <f>IF(E11&gt;"",E11,"")</f>
        <v>Tuomas Tiittala</v>
      </c>
      <c r="G15" s="20"/>
      <c r="H15" s="14"/>
      <c r="I15" s="353">
        <v>-8</v>
      </c>
      <c r="J15" s="354"/>
      <c r="K15" s="361">
        <v>7</v>
      </c>
      <c r="L15" s="354"/>
      <c r="M15" s="353">
        <v>-8</v>
      </c>
      <c r="N15" s="354"/>
      <c r="O15" s="353">
        <v>-11</v>
      </c>
      <c r="P15" s="354"/>
      <c r="Q15" s="353"/>
      <c r="R15" s="354"/>
      <c r="S15" s="243">
        <f t="shared" si="0"/>
        <v>1</v>
      </c>
      <c r="T15" s="244">
        <f t="shared" si="1"/>
        <v>3</v>
      </c>
      <c r="U15" s="21"/>
      <c r="V15" s="82"/>
      <c r="W15" s="78">
        <f t="shared" si="2"/>
        <v>38</v>
      </c>
      <c r="X15" s="16">
        <f t="shared" si="2"/>
        <v>42</v>
      </c>
      <c r="Y15" s="17">
        <f t="shared" si="3"/>
        <v>-4</v>
      </c>
      <c r="AB15" s="22">
        <f>IF(I15="",0,IF(LEFT(I15,1)="-",ABS(I15),(IF(I15&gt;9,I15+2,11))))</f>
        <v>8</v>
      </c>
      <c r="AC15" s="23">
        <f t="shared" si="4"/>
        <v>11</v>
      </c>
      <c r="AD15" s="22">
        <f>IF(K15="",0,IF(LEFT(K15,1)="-",ABS(K15),(IF(K15&gt;9,K15+2,11))))</f>
        <v>11</v>
      </c>
      <c r="AE15" s="23">
        <f t="shared" si="5"/>
        <v>7</v>
      </c>
      <c r="AF15" s="22">
        <f>IF(M15="",0,IF(LEFT(M15,1)="-",ABS(M15),(IF(M15&gt;9,M15+2,11))))</f>
        <v>8</v>
      </c>
      <c r="AG15" s="23">
        <f t="shared" si="6"/>
        <v>11</v>
      </c>
      <c r="AH15" s="22">
        <f>IF(O15="",0,IF(LEFT(O15,1)="-",ABS(O15),(IF(O15&gt;9,O15+2,11))))</f>
        <v>11</v>
      </c>
      <c r="AI15" s="23">
        <f t="shared" si="7"/>
        <v>13</v>
      </c>
      <c r="AJ15" s="22">
        <f t="shared" si="8"/>
        <v>0</v>
      </c>
      <c r="AK15" s="23">
        <f t="shared" si="9"/>
        <v>0</v>
      </c>
    </row>
    <row r="16" spans="3:37" ht="15">
      <c r="C16" s="76" t="s">
        <v>26</v>
      </c>
      <c r="D16" s="268"/>
      <c r="E16" s="110" t="str">
        <f>IF(E8&gt;"",E8,"")</f>
        <v>Mika Rauvola</v>
      </c>
      <c r="F16" s="106" t="str">
        <f>IF(E11&gt;"",E11,"")</f>
        <v>Tuomas Tiittala</v>
      </c>
      <c r="G16" s="20"/>
      <c r="H16" s="94"/>
      <c r="I16" s="353">
        <v>-10</v>
      </c>
      <c r="J16" s="354"/>
      <c r="K16" s="353">
        <v>8</v>
      </c>
      <c r="L16" s="354"/>
      <c r="M16" s="353">
        <v>5</v>
      </c>
      <c r="N16" s="354"/>
      <c r="O16" s="353">
        <v>-11</v>
      </c>
      <c r="P16" s="354"/>
      <c r="Q16" s="353">
        <v>8</v>
      </c>
      <c r="R16" s="354"/>
      <c r="S16" s="243">
        <f t="shared" si="0"/>
        <v>3</v>
      </c>
      <c r="T16" s="244">
        <f t="shared" si="1"/>
        <v>2</v>
      </c>
      <c r="U16" s="21"/>
      <c r="V16" s="82"/>
      <c r="W16" s="78">
        <f t="shared" si="2"/>
        <v>54</v>
      </c>
      <c r="X16" s="16">
        <f t="shared" si="2"/>
        <v>46</v>
      </c>
      <c r="Y16" s="17">
        <f t="shared" si="3"/>
        <v>8</v>
      </c>
      <c r="AB16" s="22">
        <f aca="true" t="shared" si="10" ref="AB16:AH19">IF(I16="",0,IF(LEFT(I16,1)="-",ABS(I16),(IF(I16&gt;9,I16+2,11))))</f>
        <v>10</v>
      </c>
      <c r="AC16" s="23">
        <f t="shared" si="4"/>
        <v>12</v>
      </c>
      <c r="AD16" s="22">
        <f t="shared" si="10"/>
        <v>11</v>
      </c>
      <c r="AE16" s="23">
        <f t="shared" si="5"/>
        <v>8</v>
      </c>
      <c r="AF16" s="22">
        <f t="shared" si="10"/>
        <v>11</v>
      </c>
      <c r="AG16" s="23">
        <f t="shared" si="6"/>
        <v>5</v>
      </c>
      <c r="AH16" s="22">
        <f t="shared" si="10"/>
        <v>11</v>
      </c>
      <c r="AI16" s="23">
        <f t="shared" si="7"/>
        <v>13</v>
      </c>
      <c r="AJ16" s="22">
        <f t="shared" si="8"/>
        <v>11</v>
      </c>
      <c r="AK16" s="23">
        <f t="shared" si="9"/>
        <v>8</v>
      </c>
    </row>
    <row r="17" spans="3:37" ht="15">
      <c r="C17" s="76" t="s">
        <v>27</v>
      </c>
      <c r="D17" s="268"/>
      <c r="E17" s="110" t="str">
        <f>IF(E9&gt;"",E9,"")</f>
        <v>Chau Dinh Huy</v>
      </c>
      <c r="F17" s="106" t="str">
        <f>IF(E10&gt;"",E10,"")</f>
        <v>Leo Kivelä</v>
      </c>
      <c r="G17" s="20"/>
      <c r="H17" s="94"/>
      <c r="I17" s="353">
        <v>-5</v>
      </c>
      <c r="J17" s="354"/>
      <c r="K17" s="353">
        <v>10</v>
      </c>
      <c r="L17" s="354"/>
      <c r="M17" s="353">
        <v>9</v>
      </c>
      <c r="N17" s="354"/>
      <c r="O17" s="353">
        <v>-9</v>
      </c>
      <c r="P17" s="354"/>
      <c r="Q17" s="353">
        <v>-4</v>
      </c>
      <c r="R17" s="354"/>
      <c r="S17" s="243">
        <f t="shared" si="0"/>
        <v>2</v>
      </c>
      <c r="T17" s="244">
        <f t="shared" si="1"/>
        <v>3</v>
      </c>
      <c r="U17" s="21"/>
      <c r="V17" s="82"/>
      <c r="W17" s="78">
        <f t="shared" si="2"/>
        <v>41</v>
      </c>
      <c r="X17" s="16">
        <f t="shared" si="2"/>
        <v>52</v>
      </c>
      <c r="Y17" s="17">
        <f t="shared" si="3"/>
        <v>-11</v>
      </c>
      <c r="AB17" s="22">
        <f t="shared" si="10"/>
        <v>5</v>
      </c>
      <c r="AC17" s="23">
        <f t="shared" si="4"/>
        <v>11</v>
      </c>
      <c r="AD17" s="22">
        <f t="shared" si="10"/>
        <v>12</v>
      </c>
      <c r="AE17" s="23">
        <f t="shared" si="5"/>
        <v>10</v>
      </c>
      <c r="AF17" s="22">
        <f t="shared" si="10"/>
        <v>11</v>
      </c>
      <c r="AG17" s="23">
        <f t="shared" si="6"/>
        <v>9</v>
      </c>
      <c r="AH17" s="22">
        <f t="shared" si="10"/>
        <v>9</v>
      </c>
      <c r="AI17" s="23">
        <f t="shared" si="7"/>
        <v>11</v>
      </c>
      <c r="AJ17" s="22">
        <f t="shared" si="8"/>
        <v>4</v>
      </c>
      <c r="AK17" s="23">
        <f t="shared" si="9"/>
        <v>11</v>
      </c>
    </row>
    <row r="18" spans="3:37" ht="15">
      <c r="C18" s="76" t="s">
        <v>28</v>
      </c>
      <c r="D18" s="268"/>
      <c r="E18" s="109" t="str">
        <f>IF(E8&gt;"",E8,"")</f>
        <v>Mika Rauvola</v>
      </c>
      <c r="F18" s="105" t="str">
        <f>IF(E9&gt;"",E9,"")</f>
        <v>Chau Dinh Huy</v>
      </c>
      <c r="G18" s="20"/>
      <c r="H18" s="14"/>
      <c r="I18" s="353">
        <v>7</v>
      </c>
      <c r="J18" s="354"/>
      <c r="K18" s="353">
        <v>8</v>
      </c>
      <c r="L18" s="354"/>
      <c r="M18" s="361">
        <v>10</v>
      </c>
      <c r="N18" s="354"/>
      <c r="O18" s="353"/>
      <c r="P18" s="354"/>
      <c r="Q18" s="353"/>
      <c r="R18" s="354"/>
      <c r="S18" s="243">
        <f t="shared" si="0"/>
        <v>3</v>
      </c>
      <c r="T18" s="244">
        <f t="shared" si="1"/>
        <v>0</v>
      </c>
      <c r="U18" s="21"/>
      <c r="V18" s="82"/>
      <c r="W18" s="78">
        <f t="shared" si="2"/>
        <v>34</v>
      </c>
      <c r="X18" s="16">
        <f t="shared" si="2"/>
        <v>25</v>
      </c>
      <c r="Y18" s="17">
        <f t="shared" si="3"/>
        <v>9</v>
      </c>
      <c r="AB18" s="22">
        <f t="shared" si="10"/>
        <v>11</v>
      </c>
      <c r="AC18" s="23">
        <f t="shared" si="4"/>
        <v>7</v>
      </c>
      <c r="AD18" s="22">
        <f t="shared" si="10"/>
        <v>11</v>
      </c>
      <c r="AE18" s="23">
        <f t="shared" si="5"/>
        <v>8</v>
      </c>
      <c r="AF18" s="22">
        <f t="shared" si="10"/>
        <v>12</v>
      </c>
      <c r="AG18" s="23">
        <f t="shared" si="6"/>
        <v>10</v>
      </c>
      <c r="AH18" s="22">
        <f t="shared" si="10"/>
        <v>0</v>
      </c>
      <c r="AI18" s="23">
        <f t="shared" si="7"/>
        <v>0</v>
      </c>
      <c r="AJ18" s="22">
        <f t="shared" si="8"/>
        <v>0</v>
      </c>
      <c r="AK18" s="23">
        <f t="shared" si="9"/>
        <v>0</v>
      </c>
    </row>
    <row r="19" spans="3:37" ht="15.75" thickBot="1">
      <c r="C19" s="83" t="s">
        <v>29</v>
      </c>
      <c r="D19" s="269"/>
      <c r="E19" s="111" t="str">
        <f>IF(E10&gt;"",E10,"")</f>
        <v>Leo Kivelä</v>
      </c>
      <c r="F19" s="107" t="str">
        <f>IF(E11&gt;"",E11,"")</f>
        <v>Tuomas Tiittala</v>
      </c>
      <c r="G19" s="10"/>
      <c r="H19" s="42"/>
      <c r="I19" s="358">
        <v>-9</v>
      </c>
      <c r="J19" s="359"/>
      <c r="K19" s="358">
        <v>-10</v>
      </c>
      <c r="L19" s="359"/>
      <c r="M19" s="358">
        <v>5</v>
      </c>
      <c r="N19" s="359"/>
      <c r="O19" s="358">
        <v>3</v>
      </c>
      <c r="P19" s="359"/>
      <c r="Q19" s="358">
        <v>7</v>
      </c>
      <c r="R19" s="359"/>
      <c r="S19" s="245">
        <f t="shared" si="0"/>
        <v>3</v>
      </c>
      <c r="T19" s="246">
        <f t="shared" si="1"/>
        <v>2</v>
      </c>
      <c r="U19" s="84"/>
      <c r="V19" s="85"/>
      <c r="W19" s="78">
        <f t="shared" si="2"/>
        <v>52</v>
      </c>
      <c r="X19" s="16">
        <f t="shared" si="2"/>
        <v>38</v>
      </c>
      <c r="Y19" s="17">
        <f t="shared" si="3"/>
        <v>14</v>
      </c>
      <c r="AB19" s="24">
        <f t="shared" si="10"/>
        <v>9</v>
      </c>
      <c r="AC19" s="25">
        <f t="shared" si="4"/>
        <v>11</v>
      </c>
      <c r="AD19" s="24">
        <f t="shared" si="10"/>
        <v>10</v>
      </c>
      <c r="AE19" s="25">
        <f t="shared" si="5"/>
        <v>12</v>
      </c>
      <c r="AF19" s="24">
        <f t="shared" si="10"/>
        <v>11</v>
      </c>
      <c r="AG19" s="25">
        <f t="shared" si="6"/>
        <v>5</v>
      </c>
      <c r="AH19" s="24">
        <f t="shared" si="10"/>
        <v>11</v>
      </c>
      <c r="AI19" s="25">
        <f t="shared" si="7"/>
        <v>3</v>
      </c>
      <c r="AJ19" s="24">
        <f t="shared" si="8"/>
        <v>11</v>
      </c>
      <c r="AK19" s="25">
        <f t="shared" si="9"/>
        <v>7</v>
      </c>
    </row>
    <row r="21" ht="15.75" thickBot="1"/>
    <row r="22" spans="3:22" ht="15.75">
      <c r="C22" s="114"/>
      <c r="D22" s="265"/>
      <c r="E22" s="234" t="str">
        <f>$E$5</f>
        <v>TOP-12 2-karsinta</v>
      </c>
      <c r="F22" s="52"/>
      <c r="G22" s="52"/>
      <c r="H22" s="52"/>
      <c r="I22" s="53"/>
      <c r="J22" s="52"/>
      <c r="K22" s="54"/>
      <c r="L22" s="54"/>
      <c r="M22" s="378"/>
      <c r="N22" s="379"/>
      <c r="O22" s="379"/>
      <c r="P22" s="380"/>
      <c r="Q22" s="56" t="s">
        <v>0</v>
      </c>
      <c r="R22" s="57"/>
      <c r="S22" s="381" t="s">
        <v>44</v>
      </c>
      <c r="T22" s="382"/>
      <c r="U22" s="382"/>
      <c r="V22" s="383"/>
    </row>
    <row r="23" spans="3:22" ht="16.5" thickBot="1">
      <c r="C23" s="115"/>
      <c r="D23" s="270"/>
      <c r="E23" s="235" t="str">
        <f>$E$6</f>
        <v>SPTL</v>
      </c>
      <c r="F23" s="127" t="s">
        <v>1</v>
      </c>
      <c r="G23" s="334"/>
      <c r="H23" s="355"/>
      <c r="I23" s="356"/>
      <c r="J23" s="392" t="s">
        <v>2</v>
      </c>
      <c r="K23" s="388"/>
      <c r="L23" s="388"/>
      <c r="M23" s="338">
        <f>$M$6</f>
        <v>40671</v>
      </c>
      <c r="N23" s="338"/>
      <c r="O23" s="338"/>
      <c r="P23" s="339"/>
      <c r="Q23" s="128" t="s">
        <v>3</v>
      </c>
      <c r="R23" s="129"/>
      <c r="S23" s="342" t="str">
        <f>$S$6</f>
        <v>11.00</v>
      </c>
      <c r="T23" s="343"/>
      <c r="U23" s="343"/>
      <c r="V23" s="393"/>
    </row>
    <row r="24" spans="3:25" ht="15">
      <c r="C24" s="62"/>
      <c r="D24" s="278" t="s">
        <v>69</v>
      </c>
      <c r="E24" s="206" t="s">
        <v>4</v>
      </c>
      <c r="F24" s="209" t="s">
        <v>5</v>
      </c>
      <c r="G24" s="326" t="s">
        <v>6</v>
      </c>
      <c r="H24" s="373"/>
      <c r="I24" s="374" t="s">
        <v>7</v>
      </c>
      <c r="J24" s="375"/>
      <c r="K24" s="376" t="s">
        <v>8</v>
      </c>
      <c r="L24" s="373"/>
      <c r="M24" s="374" t="s">
        <v>9</v>
      </c>
      <c r="N24" s="375"/>
      <c r="O24" s="352"/>
      <c r="P24" s="319"/>
      <c r="Q24" s="63" t="s">
        <v>10</v>
      </c>
      <c r="R24" s="64" t="s">
        <v>11</v>
      </c>
      <c r="S24" s="326" t="s">
        <v>12</v>
      </c>
      <c r="T24" s="321"/>
      <c r="U24" s="377" t="s">
        <v>13</v>
      </c>
      <c r="V24" s="319"/>
      <c r="W24" s="328" t="s">
        <v>14</v>
      </c>
      <c r="X24" s="329"/>
      <c r="Y24" s="1" t="s">
        <v>15</v>
      </c>
    </row>
    <row r="25" spans="2:25" ht="15">
      <c r="B25" s="50">
        <f>U25</f>
        <v>1</v>
      </c>
      <c r="C25" s="67" t="s">
        <v>6</v>
      </c>
      <c r="D25" s="279"/>
      <c r="E25" s="289" t="s">
        <v>80</v>
      </c>
      <c r="F25" s="231" t="s">
        <v>81</v>
      </c>
      <c r="G25" s="155"/>
      <c r="H25" s="145"/>
      <c r="I25" s="158">
        <f>+S35</f>
        <v>3</v>
      </c>
      <c r="J25" s="146">
        <f>+T35</f>
        <v>0</v>
      </c>
      <c r="K25" s="162">
        <f>S31</f>
        <v>3</v>
      </c>
      <c r="L25" s="106">
        <f>T31</f>
        <v>0</v>
      </c>
      <c r="M25" s="158">
        <f>S33</f>
        <v>1</v>
      </c>
      <c r="N25" s="146">
        <f>T33</f>
        <v>3</v>
      </c>
      <c r="O25" s="106"/>
      <c r="P25" s="147"/>
      <c r="Q25" s="237">
        <f>IF(SUM(G25:P25)=0,"",COUNTIF(H25:H28,"3"))</f>
        <v>2</v>
      </c>
      <c r="R25" s="238">
        <f>IF(SUM(H25:Q25)=0,"",COUNTIF(G25:G28,"3"))</f>
        <v>1</v>
      </c>
      <c r="S25" s="2">
        <f>IF(SUM(G25:P25)=0,"",SUM(H25:H28))</f>
        <v>7</v>
      </c>
      <c r="T25" s="3">
        <f>IF(SUM(G25:P25)=0,"",SUM(G25:G28))</f>
        <v>3</v>
      </c>
      <c r="U25" s="366">
        <v>1</v>
      </c>
      <c r="V25" s="367"/>
      <c r="W25" s="4">
        <f>+W31+W33+W35</f>
        <v>109</v>
      </c>
      <c r="X25" s="4">
        <f>+X31+X33+X35</f>
        <v>78</v>
      </c>
      <c r="Y25" s="5">
        <f>+W25-X25</f>
        <v>31</v>
      </c>
    </row>
    <row r="26" spans="2:25" ht="15">
      <c r="B26" s="50">
        <f>U26</f>
        <v>3</v>
      </c>
      <c r="C26" s="68" t="s">
        <v>7</v>
      </c>
      <c r="D26" s="279"/>
      <c r="E26" s="289" t="s">
        <v>82</v>
      </c>
      <c r="F26" s="231" t="s">
        <v>83</v>
      </c>
      <c r="G26" s="156">
        <f>+T35</f>
        <v>0</v>
      </c>
      <c r="H26" s="105">
        <f>+S35</f>
        <v>3</v>
      </c>
      <c r="I26" s="159"/>
      <c r="J26" s="148"/>
      <c r="K26" s="163">
        <f>S34</f>
        <v>3</v>
      </c>
      <c r="L26" s="105">
        <f>T34</f>
        <v>1</v>
      </c>
      <c r="M26" s="160">
        <f>S32</f>
        <v>3</v>
      </c>
      <c r="N26" s="149">
        <f>T32</f>
        <v>1</v>
      </c>
      <c r="O26" s="105"/>
      <c r="P26" s="150"/>
      <c r="Q26" s="237">
        <f>IF(SUM(G26:P26)=0,"",COUNTIF(J25:J28,"3"))</f>
        <v>2</v>
      </c>
      <c r="R26" s="238">
        <f>IF(SUM(H26:Q26)=0,"",COUNTIF(I25:I28,"3"))</f>
        <v>1</v>
      </c>
      <c r="S26" s="2">
        <f>IF(SUM(G26:P26)=0,"",SUM(J25:J28))</f>
        <v>6</v>
      </c>
      <c r="T26" s="3">
        <f>IF(SUM(G26:P26)=0,"",SUM(I25:I28))</f>
        <v>5</v>
      </c>
      <c r="U26" s="366">
        <v>3</v>
      </c>
      <c r="V26" s="367"/>
      <c r="W26" s="4">
        <f>+W32+W34+X35</f>
        <v>105</v>
      </c>
      <c r="X26" s="4">
        <f>+X32+X34+W35</f>
        <v>94</v>
      </c>
      <c r="Y26" s="5">
        <f>+W26-X26</f>
        <v>11</v>
      </c>
    </row>
    <row r="27" spans="2:25" ht="15">
      <c r="B27" s="50">
        <f>U27</f>
        <v>4</v>
      </c>
      <c r="C27" s="68" t="s">
        <v>8</v>
      </c>
      <c r="D27" s="279"/>
      <c r="E27" s="289" t="s">
        <v>84</v>
      </c>
      <c r="F27" s="232" t="s">
        <v>85</v>
      </c>
      <c r="G27" s="156">
        <f>+T31</f>
        <v>0</v>
      </c>
      <c r="H27" s="105">
        <f>+S31</f>
        <v>3</v>
      </c>
      <c r="I27" s="160">
        <f>T34</f>
        <v>1</v>
      </c>
      <c r="J27" s="149">
        <f>S34</f>
        <v>3</v>
      </c>
      <c r="K27" s="164"/>
      <c r="L27" s="151"/>
      <c r="M27" s="160">
        <f>S36</f>
        <v>1</v>
      </c>
      <c r="N27" s="149">
        <f>T36</f>
        <v>3</v>
      </c>
      <c r="O27" s="105"/>
      <c r="P27" s="150"/>
      <c r="Q27" s="237">
        <f>IF(SUM(G27:P27)=0,"",COUNTIF(L25:L28,"3"))</f>
        <v>0</v>
      </c>
      <c r="R27" s="238">
        <f>IF(SUM(H27:Q27)=0,"",COUNTIF(K25:K28,"3"))</f>
        <v>3</v>
      </c>
      <c r="S27" s="2">
        <f>IF(SUM(G27:P27)=0,"",SUM(L25:L28))</f>
        <v>2</v>
      </c>
      <c r="T27" s="3">
        <f>IF(SUM(G27:P27)=0,"",SUM(K25:K28))</f>
        <v>9</v>
      </c>
      <c r="U27" s="366">
        <v>4</v>
      </c>
      <c r="V27" s="367"/>
      <c r="W27" s="4">
        <f>+X31+X34+W36</f>
        <v>78</v>
      </c>
      <c r="X27" s="4">
        <f>+W31+W34+X36</f>
        <v>120</v>
      </c>
      <c r="Y27" s="5">
        <f>+W27-X27</f>
        <v>-42</v>
      </c>
    </row>
    <row r="28" spans="2:25" ht="15.75" thickBot="1">
      <c r="B28" s="50">
        <f>U28</f>
        <v>2</v>
      </c>
      <c r="C28" s="69" t="s">
        <v>9</v>
      </c>
      <c r="D28" s="280"/>
      <c r="E28" s="291" t="s">
        <v>86</v>
      </c>
      <c r="F28" s="288" t="s">
        <v>74</v>
      </c>
      <c r="G28" s="157">
        <f>T33</f>
        <v>3</v>
      </c>
      <c r="H28" s="107">
        <f>S33</f>
        <v>1</v>
      </c>
      <c r="I28" s="161">
        <f>T32</f>
        <v>1</v>
      </c>
      <c r="J28" s="152">
        <f>S32</f>
        <v>3</v>
      </c>
      <c r="K28" s="165">
        <f>T36</f>
        <v>3</v>
      </c>
      <c r="L28" s="107">
        <f>S36</f>
        <v>1</v>
      </c>
      <c r="M28" s="166"/>
      <c r="N28" s="153"/>
      <c r="O28" s="107"/>
      <c r="P28" s="154"/>
      <c r="Q28" s="239">
        <f>IF(SUM(G28:P28)=0,"",COUNTIF(N25:N28,"3"))</f>
        <v>2</v>
      </c>
      <c r="R28" s="240">
        <f>IF(SUM(H28:Q28)=0,"",COUNTIF(M25:M28,"3"))</f>
        <v>1</v>
      </c>
      <c r="S28" s="70">
        <f>IF(SUM(G28:P29)=0,"",SUM(N25:N28))</f>
        <v>7</v>
      </c>
      <c r="T28" s="71">
        <f>IF(SUM(G28:P28)=0,"",SUM(M25:M28))</f>
        <v>5</v>
      </c>
      <c r="U28" s="368">
        <v>2</v>
      </c>
      <c r="V28" s="369"/>
      <c r="W28" s="4">
        <f>+X32+X33+X36</f>
        <v>120</v>
      </c>
      <c r="X28" s="4">
        <f>+W32+W33+W36</f>
        <v>120</v>
      </c>
      <c r="Y28" s="5">
        <f>+W28-X28</f>
        <v>0</v>
      </c>
    </row>
    <row r="29" spans="3:27" ht="15">
      <c r="C29" s="75"/>
      <c r="D29" s="267"/>
      <c r="E29" s="96" t="s">
        <v>67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61"/>
      <c r="V29" s="130"/>
      <c r="W29" s="6"/>
      <c r="X29" s="7" t="s">
        <v>16</v>
      </c>
      <c r="Y29" s="8">
        <f>SUM(Y25:Y28)</f>
        <v>0</v>
      </c>
      <c r="Z29" s="7" t="str">
        <f>IF(Y29=0,"OK","Virhe")</f>
        <v>OK</v>
      </c>
      <c r="AA29" s="9"/>
    </row>
    <row r="30" spans="3:25" ht="15.75" thickBot="1">
      <c r="C30" s="75"/>
      <c r="D30" s="267"/>
      <c r="E30" s="95" t="s">
        <v>17</v>
      </c>
      <c r="F30" s="10"/>
      <c r="G30" s="10"/>
      <c r="H30" s="11"/>
      <c r="I30" s="370" t="s">
        <v>18</v>
      </c>
      <c r="J30" s="371"/>
      <c r="K30" s="372" t="s">
        <v>19</v>
      </c>
      <c r="L30" s="371"/>
      <c r="M30" s="372" t="s">
        <v>20</v>
      </c>
      <c r="N30" s="371"/>
      <c r="O30" s="372" t="s">
        <v>21</v>
      </c>
      <c r="P30" s="371"/>
      <c r="Q30" s="372" t="s">
        <v>22</v>
      </c>
      <c r="R30" s="371"/>
      <c r="S30" s="322" t="s">
        <v>23</v>
      </c>
      <c r="T30" s="317"/>
      <c r="U30" s="21"/>
      <c r="V30" s="80"/>
      <c r="W30" s="77" t="s">
        <v>14</v>
      </c>
      <c r="X30" s="12"/>
      <c r="Y30" s="1" t="s">
        <v>15</v>
      </c>
    </row>
    <row r="31" spans="3:37" ht="15">
      <c r="C31" s="76" t="s">
        <v>24</v>
      </c>
      <c r="D31" s="268"/>
      <c r="E31" s="109" t="str">
        <f>IF(E25&gt;"",E25,"")</f>
        <v>Riku Autio</v>
      </c>
      <c r="F31" s="104" t="str">
        <f>IF(E27&gt;"",E27,"")</f>
        <v>Kari Saarinen</v>
      </c>
      <c r="G31" s="13"/>
      <c r="H31" s="14"/>
      <c r="I31" s="362">
        <v>7</v>
      </c>
      <c r="J31" s="363"/>
      <c r="K31" s="362">
        <v>1</v>
      </c>
      <c r="L31" s="363"/>
      <c r="M31" s="362">
        <v>4</v>
      </c>
      <c r="N31" s="363"/>
      <c r="O31" s="362"/>
      <c r="P31" s="363"/>
      <c r="Q31" s="365"/>
      <c r="R31" s="364"/>
      <c r="S31" s="247">
        <f aca="true" t="shared" si="11" ref="S31:S36">IF(COUNT(I31:Q31)=0,"",COUNTIF(I31:Q31,"&gt;=0"))</f>
        <v>3</v>
      </c>
      <c r="T31" s="248">
        <f aca="true" t="shared" si="12" ref="T31:T36">IF(COUNT(I31:Q31)=0,"",(IF(LEFT(I31,1)="-",1,0)+IF(LEFT(K31,1)="-",1,0)+IF(LEFT(M31,1)="-",1,0)+IF(LEFT(O31,1)="-",1,0)+IF(LEFT(Q31,1)="-",1,0)))</f>
        <v>0</v>
      </c>
      <c r="U31" s="15"/>
      <c r="V31" s="81"/>
      <c r="W31" s="78">
        <f aca="true" t="shared" si="13" ref="W31:X36">+AB31+AD31+AF31+AH31+AJ31</f>
        <v>33</v>
      </c>
      <c r="X31" s="16">
        <f t="shared" si="13"/>
        <v>12</v>
      </c>
      <c r="Y31" s="17">
        <f aca="true" t="shared" si="14" ref="Y31:Y36">+W31-X31</f>
        <v>21</v>
      </c>
      <c r="AB31" s="18">
        <f>IF(I31="",0,IF(LEFT(I31,1)="-",ABS(I31),(IF(I31&gt;9,I31+2,11))))</f>
        <v>11</v>
      </c>
      <c r="AC31" s="19">
        <f aca="true" t="shared" si="15" ref="AC31:AC36">IF(I31="",0,IF(LEFT(I31,1)="-",(IF(ABS(I31)&gt;9,(ABS(I31)+2),11)),I31))</f>
        <v>7</v>
      </c>
      <c r="AD31" s="18">
        <f>IF(K31="",0,IF(LEFT(K31,1)="-",ABS(K31),(IF(K31&gt;9,K31+2,11))))</f>
        <v>11</v>
      </c>
      <c r="AE31" s="19">
        <f aca="true" t="shared" si="16" ref="AE31:AE36">IF(K31="",0,IF(LEFT(K31,1)="-",(IF(ABS(K31)&gt;9,(ABS(K31)+2),11)),K31))</f>
        <v>1</v>
      </c>
      <c r="AF31" s="18">
        <f>IF(M31="",0,IF(LEFT(M31,1)="-",ABS(M31),(IF(M31&gt;9,M31+2,11))))</f>
        <v>11</v>
      </c>
      <c r="AG31" s="19">
        <f aca="true" t="shared" si="17" ref="AG31:AG36">IF(M31="",0,IF(LEFT(M31,1)="-",(IF(ABS(M31)&gt;9,(ABS(M31)+2),11)),M31))</f>
        <v>4</v>
      </c>
      <c r="AH31" s="18">
        <f>IF(O31="",0,IF(LEFT(O31,1)="-",ABS(O31),(IF(O31&gt;9,O31+2,11))))</f>
        <v>0</v>
      </c>
      <c r="AI31" s="19">
        <f aca="true" t="shared" si="18" ref="AI31:AI36">IF(O31="",0,IF(LEFT(O31,1)="-",(IF(ABS(O31)&gt;9,(ABS(O31)+2),11)),O31))</f>
        <v>0</v>
      </c>
      <c r="AJ31" s="18">
        <f aca="true" t="shared" si="19" ref="AJ31:AJ36">IF(Q31="",0,IF(LEFT(Q31,1)="-",ABS(Q31),(IF(Q31&gt;9,Q31+2,11))))</f>
        <v>0</v>
      </c>
      <c r="AK31" s="19">
        <f aca="true" t="shared" si="20" ref="AK31:AK36">IF(Q31="",0,IF(LEFT(Q31,1)="-",(IF(ABS(Q31)&gt;9,(ABS(Q31)+2),11)),Q31))</f>
        <v>0</v>
      </c>
    </row>
    <row r="32" spans="3:37" ht="15">
      <c r="C32" s="76" t="s">
        <v>25</v>
      </c>
      <c r="D32" s="268"/>
      <c r="E32" s="109" t="str">
        <f>IF(E26&gt;"",E26,"")</f>
        <v>Olli-Ville Halonen</v>
      </c>
      <c r="F32" s="105" t="str">
        <f>IF(E28&gt;"",E28,"")</f>
        <v>Thomas Lundström</v>
      </c>
      <c r="G32" s="20"/>
      <c r="H32" s="14"/>
      <c r="I32" s="353">
        <v>5</v>
      </c>
      <c r="J32" s="354"/>
      <c r="K32" s="353">
        <v>9</v>
      </c>
      <c r="L32" s="354"/>
      <c r="M32" s="353">
        <v>-8</v>
      </c>
      <c r="N32" s="354"/>
      <c r="O32" s="353">
        <v>6</v>
      </c>
      <c r="P32" s="354"/>
      <c r="Q32" s="353"/>
      <c r="R32" s="357"/>
      <c r="S32" s="249">
        <f t="shared" si="11"/>
        <v>3</v>
      </c>
      <c r="T32" s="250">
        <f t="shared" si="12"/>
        <v>1</v>
      </c>
      <c r="U32" s="21"/>
      <c r="V32" s="82"/>
      <c r="W32" s="78">
        <f t="shared" si="13"/>
        <v>41</v>
      </c>
      <c r="X32" s="16">
        <f t="shared" si="13"/>
        <v>31</v>
      </c>
      <c r="Y32" s="17">
        <f t="shared" si="14"/>
        <v>10</v>
      </c>
      <c r="AB32" s="22">
        <f>IF(I32="",0,IF(LEFT(I32,1)="-",ABS(I32),(IF(I32&gt;9,I32+2,11))))</f>
        <v>11</v>
      </c>
      <c r="AC32" s="23">
        <f t="shared" si="15"/>
        <v>5</v>
      </c>
      <c r="AD32" s="22">
        <f>IF(K32="",0,IF(LEFT(K32,1)="-",ABS(K32),(IF(K32&gt;9,K32+2,11))))</f>
        <v>11</v>
      </c>
      <c r="AE32" s="23">
        <f t="shared" si="16"/>
        <v>9</v>
      </c>
      <c r="AF32" s="22">
        <f>IF(M32="",0,IF(LEFT(M32,1)="-",ABS(M32),(IF(M32&gt;9,M32+2,11))))</f>
        <v>8</v>
      </c>
      <c r="AG32" s="23">
        <f t="shared" si="17"/>
        <v>11</v>
      </c>
      <c r="AH32" s="22">
        <f>IF(O32="",0,IF(LEFT(O32,1)="-",ABS(O32),(IF(O32&gt;9,O32+2,11))))</f>
        <v>11</v>
      </c>
      <c r="AI32" s="23">
        <f t="shared" si="18"/>
        <v>6</v>
      </c>
      <c r="AJ32" s="22">
        <f t="shared" si="19"/>
        <v>0</v>
      </c>
      <c r="AK32" s="23">
        <f t="shared" si="20"/>
        <v>0</v>
      </c>
    </row>
    <row r="33" spans="3:37" ht="15">
      <c r="C33" s="76" t="s">
        <v>26</v>
      </c>
      <c r="D33" s="268"/>
      <c r="E33" s="110" t="str">
        <f>IF(E25&gt;"",E25,"")</f>
        <v>Riku Autio</v>
      </c>
      <c r="F33" s="106" t="str">
        <f>IF(E28&gt;"",E28,"")</f>
        <v>Thomas Lundström</v>
      </c>
      <c r="G33" s="20"/>
      <c r="H33" s="94"/>
      <c r="I33" s="353">
        <v>-9</v>
      </c>
      <c r="J33" s="354"/>
      <c r="K33" s="353">
        <v>-10</v>
      </c>
      <c r="L33" s="354"/>
      <c r="M33" s="353">
        <v>6</v>
      </c>
      <c r="N33" s="354"/>
      <c r="O33" s="353">
        <v>-13</v>
      </c>
      <c r="P33" s="354"/>
      <c r="Q33" s="353"/>
      <c r="R33" s="357"/>
      <c r="S33" s="249">
        <f t="shared" si="11"/>
        <v>1</v>
      </c>
      <c r="T33" s="250">
        <f t="shared" si="12"/>
        <v>3</v>
      </c>
      <c r="U33" s="21"/>
      <c r="V33" s="82"/>
      <c r="W33" s="78">
        <f t="shared" si="13"/>
        <v>43</v>
      </c>
      <c r="X33" s="16">
        <f t="shared" si="13"/>
        <v>44</v>
      </c>
      <c r="Y33" s="17">
        <f t="shared" si="14"/>
        <v>-1</v>
      </c>
      <c r="AB33" s="22">
        <f aca="true" t="shared" si="21" ref="AB33:AH36">IF(I33="",0,IF(LEFT(I33,1)="-",ABS(I33),(IF(I33&gt;9,I33+2,11))))</f>
        <v>9</v>
      </c>
      <c r="AC33" s="23">
        <f t="shared" si="15"/>
        <v>11</v>
      </c>
      <c r="AD33" s="22">
        <f t="shared" si="21"/>
        <v>10</v>
      </c>
      <c r="AE33" s="23">
        <f t="shared" si="16"/>
        <v>12</v>
      </c>
      <c r="AF33" s="22">
        <f t="shared" si="21"/>
        <v>11</v>
      </c>
      <c r="AG33" s="23">
        <f t="shared" si="17"/>
        <v>6</v>
      </c>
      <c r="AH33" s="22">
        <f t="shared" si="21"/>
        <v>13</v>
      </c>
      <c r="AI33" s="23">
        <f t="shared" si="18"/>
        <v>15</v>
      </c>
      <c r="AJ33" s="22">
        <f t="shared" si="19"/>
        <v>0</v>
      </c>
      <c r="AK33" s="23">
        <f t="shared" si="20"/>
        <v>0</v>
      </c>
    </row>
    <row r="34" spans="3:37" ht="15">
      <c r="C34" s="76" t="s">
        <v>27</v>
      </c>
      <c r="D34" s="268"/>
      <c r="E34" s="109" t="str">
        <f>IF(E26&gt;"",E26,"")</f>
        <v>Olli-Ville Halonen</v>
      </c>
      <c r="F34" s="105" t="str">
        <f>IF(E27&gt;"",E27,"")</f>
        <v>Kari Saarinen</v>
      </c>
      <c r="G34" s="13"/>
      <c r="H34" s="14"/>
      <c r="I34" s="362">
        <v>4</v>
      </c>
      <c r="J34" s="363"/>
      <c r="K34" s="362">
        <v>-9</v>
      </c>
      <c r="L34" s="363"/>
      <c r="M34" s="362">
        <v>8</v>
      </c>
      <c r="N34" s="363"/>
      <c r="O34" s="362">
        <v>7</v>
      </c>
      <c r="P34" s="363"/>
      <c r="Q34" s="362"/>
      <c r="R34" s="364"/>
      <c r="S34" s="249">
        <f t="shared" si="11"/>
        <v>3</v>
      </c>
      <c r="T34" s="250">
        <f t="shared" si="12"/>
        <v>1</v>
      </c>
      <c r="U34" s="21"/>
      <c r="V34" s="82"/>
      <c r="W34" s="78">
        <f t="shared" si="13"/>
        <v>42</v>
      </c>
      <c r="X34" s="16">
        <f t="shared" si="13"/>
        <v>30</v>
      </c>
      <c r="Y34" s="17">
        <f t="shared" si="14"/>
        <v>12</v>
      </c>
      <c r="AB34" s="22">
        <f t="shared" si="21"/>
        <v>11</v>
      </c>
      <c r="AC34" s="23">
        <f t="shared" si="15"/>
        <v>4</v>
      </c>
      <c r="AD34" s="22">
        <f t="shared" si="21"/>
        <v>9</v>
      </c>
      <c r="AE34" s="23">
        <f t="shared" si="16"/>
        <v>11</v>
      </c>
      <c r="AF34" s="22">
        <f t="shared" si="21"/>
        <v>11</v>
      </c>
      <c r="AG34" s="23">
        <f t="shared" si="17"/>
        <v>8</v>
      </c>
      <c r="AH34" s="22">
        <f t="shared" si="21"/>
        <v>11</v>
      </c>
      <c r="AI34" s="23">
        <f t="shared" si="18"/>
        <v>7</v>
      </c>
      <c r="AJ34" s="22">
        <f t="shared" si="19"/>
        <v>0</v>
      </c>
      <c r="AK34" s="23">
        <f t="shared" si="20"/>
        <v>0</v>
      </c>
    </row>
    <row r="35" spans="3:37" ht="15">
      <c r="C35" s="76" t="s">
        <v>28</v>
      </c>
      <c r="D35" s="268"/>
      <c r="E35" s="109" t="str">
        <f>IF(E25&gt;"",E25,"")</f>
        <v>Riku Autio</v>
      </c>
      <c r="F35" s="105" t="str">
        <f>IF(E26&gt;"",E26,"")</f>
        <v>Olli-Ville Halonen</v>
      </c>
      <c r="G35" s="20"/>
      <c r="H35" s="14"/>
      <c r="I35" s="353">
        <v>9</v>
      </c>
      <c r="J35" s="354"/>
      <c r="K35" s="353">
        <v>6</v>
      </c>
      <c r="L35" s="354"/>
      <c r="M35" s="361">
        <v>7</v>
      </c>
      <c r="N35" s="354"/>
      <c r="O35" s="353"/>
      <c r="P35" s="354"/>
      <c r="Q35" s="353"/>
      <c r="R35" s="357"/>
      <c r="S35" s="249">
        <f t="shared" si="11"/>
        <v>3</v>
      </c>
      <c r="T35" s="250">
        <f t="shared" si="12"/>
        <v>0</v>
      </c>
      <c r="U35" s="21"/>
      <c r="V35" s="82"/>
      <c r="W35" s="78">
        <f t="shared" si="13"/>
        <v>33</v>
      </c>
      <c r="X35" s="16">
        <f t="shared" si="13"/>
        <v>22</v>
      </c>
      <c r="Y35" s="17">
        <f t="shared" si="14"/>
        <v>11</v>
      </c>
      <c r="AB35" s="22">
        <f t="shared" si="21"/>
        <v>11</v>
      </c>
      <c r="AC35" s="23">
        <f t="shared" si="15"/>
        <v>9</v>
      </c>
      <c r="AD35" s="22">
        <f t="shared" si="21"/>
        <v>11</v>
      </c>
      <c r="AE35" s="23">
        <f t="shared" si="16"/>
        <v>6</v>
      </c>
      <c r="AF35" s="22">
        <f t="shared" si="21"/>
        <v>11</v>
      </c>
      <c r="AG35" s="23">
        <f t="shared" si="17"/>
        <v>7</v>
      </c>
      <c r="AH35" s="22">
        <f t="shared" si="21"/>
        <v>0</v>
      </c>
      <c r="AI35" s="23">
        <f t="shared" si="18"/>
        <v>0</v>
      </c>
      <c r="AJ35" s="22">
        <f t="shared" si="19"/>
        <v>0</v>
      </c>
      <c r="AK35" s="23">
        <f t="shared" si="20"/>
        <v>0</v>
      </c>
    </row>
    <row r="36" spans="3:37" ht="15.75" thickBot="1">
      <c r="C36" s="83" t="s">
        <v>29</v>
      </c>
      <c r="D36" s="269"/>
      <c r="E36" s="111" t="str">
        <f>IF(E27&gt;"",E27,"")</f>
        <v>Kari Saarinen</v>
      </c>
      <c r="F36" s="107" t="str">
        <f>IF(E28&gt;"",E28,"")</f>
        <v>Thomas Lundström</v>
      </c>
      <c r="G36" s="10"/>
      <c r="H36" s="42"/>
      <c r="I36" s="358">
        <v>-7</v>
      </c>
      <c r="J36" s="359"/>
      <c r="K36" s="358">
        <v>12</v>
      </c>
      <c r="L36" s="359"/>
      <c r="M36" s="358">
        <v>-8</v>
      </c>
      <c r="N36" s="359"/>
      <c r="O36" s="358">
        <v>-7</v>
      </c>
      <c r="P36" s="359"/>
      <c r="Q36" s="358"/>
      <c r="R36" s="360"/>
      <c r="S36" s="251">
        <f t="shared" si="11"/>
        <v>1</v>
      </c>
      <c r="T36" s="252">
        <f t="shared" si="12"/>
        <v>3</v>
      </c>
      <c r="U36" s="84"/>
      <c r="V36" s="85"/>
      <c r="W36" s="78">
        <f t="shared" si="13"/>
        <v>36</v>
      </c>
      <c r="X36" s="16">
        <f t="shared" si="13"/>
        <v>45</v>
      </c>
      <c r="Y36" s="17">
        <f t="shared" si="14"/>
        <v>-9</v>
      </c>
      <c r="AB36" s="24">
        <f t="shared" si="21"/>
        <v>7</v>
      </c>
      <c r="AC36" s="25">
        <f t="shared" si="15"/>
        <v>11</v>
      </c>
      <c r="AD36" s="24">
        <f t="shared" si="21"/>
        <v>14</v>
      </c>
      <c r="AE36" s="25">
        <f t="shared" si="16"/>
        <v>12</v>
      </c>
      <c r="AF36" s="24">
        <f t="shared" si="21"/>
        <v>8</v>
      </c>
      <c r="AG36" s="25">
        <f t="shared" si="17"/>
        <v>11</v>
      </c>
      <c r="AH36" s="24">
        <f t="shared" si="21"/>
        <v>7</v>
      </c>
      <c r="AI36" s="25">
        <f t="shared" si="18"/>
        <v>11</v>
      </c>
      <c r="AJ36" s="24">
        <f t="shared" si="19"/>
        <v>0</v>
      </c>
      <c r="AK36" s="25">
        <f t="shared" si="20"/>
        <v>0</v>
      </c>
    </row>
    <row r="38" ht="15.75" thickBot="1"/>
    <row r="39" spans="3:22" ht="15.75">
      <c r="C39" s="114"/>
      <c r="D39" s="265"/>
      <c r="E39" s="234" t="str">
        <f>$E$5</f>
        <v>TOP-12 2-karsinta</v>
      </c>
      <c r="F39" s="52"/>
      <c r="G39" s="52"/>
      <c r="H39" s="52"/>
      <c r="I39" s="53"/>
      <c r="J39" s="52"/>
      <c r="K39" s="54"/>
      <c r="L39" s="54"/>
      <c r="M39" s="378"/>
      <c r="N39" s="379"/>
      <c r="O39" s="379"/>
      <c r="P39" s="380"/>
      <c r="Q39" s="56" t="s">
        <v>0</v>
      </c>
      <c r="R39" s="57"/>
      <c r="S39" s="381" t="s">
        <v>45</v>
      </c>
      <c r="T39" s="382"/>
      <c r="U39" s="382"/>
      <c r="V39" s="383"/>
    </row>
    <row r="40" spans="3:22" ht="16.5" thickBot="1">
      <c r="C40" s="115"/>
      <c r="D40" s="270"/>
      <c r="E40" s="235" t="str">
        <f>$E$6</f>
        <v>SPTL</v>
      </c>
      <c r="F40" s="127" t="s">
        <v>1</v>
      </c>
      <c r="G40" s="384"/>
      <c r="H40" s="385"/>
      <c r="I40" s="386"/>
      <c r="J40" s="387" t="s">
        <v>2</v>
      </c>
      <c r="K40" s="388"/>
      <c r="L40" s="388"/>
      <c r="M40" s="338">
        <f>$M$6</f>
        <v>40671</v>
      </c>
      <c r="N40" s="338"/>
      <c r="O40" s="338"/>
      <c r="P40" s="339"/>
      <c r="Q40" s="128" t="s">
        <v>3</v>
      </c>
      <c r="R40" s="129"/>
      <c r="S40" s="389" t="str">
        <f>$S$6</f>
        <v>11.00</v>
      </c>
      <c r="T40" s="390"/>
      <c r="U40" s="390"/>
      <c r="V40" s="391"/>
    </row>
    <row r="41" spans="3:25" ht="15">
      <c r="C41" s="62"/>
      <c r="D41" s="278" t="s">
        <v>69</v>
      </c>
      <c r="E41" s="208" t="s">
        <v>4</v>
      </c>
      <c r="F41" s="207" t="s">
        <v>5</v>
      </c>
      <c r="G41" s="326" t="s">
        <v>6</v>
      </c>
      <c r="H41" s="373"/>
      <c r="I41" s="374" t="s">
        <v>7</v>
      </c>
      <c r="J41" s="375"/>
      <c r="K41" s="376" t="s">
        <v>8</v>
      </c>
      <c r="L41" s="373"/>
      <c r="M41" s="374" t="s">
        <v>9</v>
      </c>
      <c r="N41" s="375"/>
      <c r="O41" s="352"/>
      <c r="P41" s="319"/>
      <c r="Q41" s="63" t="s">
        <v>10</v>
      </c>
      <c r="R41" s="64" t="s">
        <v>11</v>
      </c>
      <c r="S41" s="65" t="s">
        <v>12</v>
      </c>
      <c r="T41" s="66"/>
      <c r="U41" s="377" t="s">
        <v>13</v>
      </c>
      <c r="V41" s="319"/>
      <c r="W41" s="328" t="s">
        <v>14</v>
      </c>
      <c r="X41" s="329"/>
      <c r="Y41" s="1" t="s">
        <v>15</v>
      </c>
    </row>
    <row r="42" spans="2:25" ht="15">
      <c r="B42" s="50">
        <f>U42</f>
        <v>2</v>
      </c>
      <c r="C42" s="67" t="s">
        <v>6</v>
      </c>
      <c r="D42" s="279"/>
      <c r="E42" s="289" t="s">
        <v>87</v>
      </c>
      <c r="F42" s="231" t="s">
        <v>88</v>
      </c>
      <c r="G42" s="86"/>
      <c r="H42" s="98"/>
      <c r="I42" s="168">
        <f>+S52</f>
        <v>3</v>
      </c>
      <c r="J42" s="169">
        <f>+T52</f>
        <v>1</v>
      </c>
      <c r="K42" s="170">
        <f>S48</f>
        <v>3</v>
      </c>
      <c r="L42" s="170">
        <f>T48</f>
        <v>1</v>
      </c>
      <c r="M42" s="168">
        <f>S50</f>
        <v>1</v>
      </c>
      <c r="N42" s="169">
        <f>T50</f>
        <v>3</v>
      </c>
      <c r="O42" s="170"/>
      <c r="P42" s="87"/>
      <c r="Q42" s="237">
        <f>IF(SUM(G42:P42)=0,"",COUNTIF(H42:H45,"3"))</f>
        <v>2</v>
      </c>
      <c r="R42" s="238">
        <f>IF(SUM(H42:Q42)=0,"",COUNTIF(G42:G45,"3"))</f>
        <v>1</v>
      </c>
      <c r="S42" s="2">
        <f>IF(SUM(G42:P42)=0,"",SUM(H42:H45))</f>
        <v>7</v>
      </c>
      <c r="T42" s="3">
        <f>IF(SUM(G42:P42)=0,"",SUM(G42:G45))</f>
        <v>5</v>
      </c>
      <c r="U42" s="366">
        <v>2</v>
      </c>
      <c r="V42" s="367"/>
      <c r="W42" s="4">
        <f>+W48+W50+W52</f>
        <v>121</v>
      </c>
      <c r="X42" s="4">
        <f>+X48+X50+X52</f>
        <v>115</v>
      </c>
      <c r="Y42" s="5">
        <f>+W42-X42</f>
        <v>6</v>
      </c>
    </row>
    <row r="43" spans="2:25" ht="15">
      <c r="B43" s="50">
        <f>U43</f>
        <v>1</v>
      </c>
      <c r="C43" s="68" t="s">
        <v>7</v>
      </c>
      <c r="D43" s="279"/>
      <c r="E43" s="289" t="s">
        <v>89</v>
      </c>
      <c r="F43" s="231" t="s">
        <v>83</v>
      </c>
      <c r="G43" s="88">
        <f>+T52</f>
        <v>1</v>
      </c>
      <c r="H43" s="171">
        <f>+S52</f>
        <v>3</v>
      </c>
      <c r="I43" s="172"/>
      <c r="J43" s="173"/>
      <c r="K43" s="171">
        <f>S51</f>
        <v>3</v>
      </c>
      <c r="L43" s="171">
        <f>T51</f>
        <v>1</v>
      </c>
      <c r="M43" s="174">
        <f>S49</f>
        <v>3</v>
      </c>
      <c r="N43" s="175">
        <f>T49</f>
        <v>1</v>
      </c>
      <c r="O43" s="171"/>
      <c r="P43" s="89"/>
      <c r="Q43" s="237">
        <f>IF(SUM(G43:P43)=0,"",COUNTIF(J42:J45,"3"))</f>
        <v>2</v>
      </c>
      <c r="R43" s="238">
        <f>IF(SUM(H43:Q43)=0,"",COUNTIF(I42:I45,"3"))</f>
        <v>1</v>
      </c>
      <c r="S43" s="2">
        <f>IF(SUM(G43:P43)=0,"",SUM(J42:J45))</f>
        <v>7</v>
      </c>
      <c r="T43" s="3">
        <f>IF(SUM(G43:P43)=0,"",SUM(I42:I45))</f>
        <v>5</v>
      </c>
      <c r="U43" s="366">
        <v>1</v>
      </c>
      <c r="V43" s="367"/>
      <c r="W43" s="4">
        <f>+W49+W51+X52</f>
        <v>124</v>
      </c>
      <c r="X43" s="4">
        <f>+X49+X51+W52</f>
        <v>109</v>
      </c>
      <c r="Y43" s="5">
        <f>+W43-X43</f>
        <v>15</v>
      </c>
    </row>
    <row r="44" spans="2:25" ht="15">
      <c r="B44" s="50">
        <f>U44</f>
        <v>4</v>
      </c>
      <c r="C44" s="68" t="s">
        <v>8</v>
      </c>
      <c r="D44" s="279"/>
      <c r="E44" s="289" t="s">
        <v>90</v>
      </c>
      <c r="F44" s="232" t="s">
        <v>85</v>
      </c>
      <c r="G44" s="88">
        <f>+T48</f>
        <v>1</v>
      </c>
      <c r="H44" s="171">
        <f>+S48</f>
        <v>3</v>
      </c>
      <c r="I44" s="174">
        <f>T51</f>
        <v>1</v>
      </c>
      <c r="J44" s="175">
        <f>S51</f>
        <v>3</v>
      </c>
      <c r="K44" s="176"/>
      <c r="L44" s="176"/>
      <c r="M44" s="174">
        <f>S53</f>
        <v>1</v>
      </c>
      <c r="N44" s="175">
        <f>T53</f>
        <v>3</v>
      </c>
      <c r="O44" s="171"/>
      <c r="P44" s="89"/>
      <c r="Q44" s="237">
        <f>IF(SUM(G44:P44)=0,"",COUNTIF(L42:L45,"3"))</f>
        <v>0</v>
      </c>
      <c r="R44" s="238">
        <f>IF(SUM(H44:Q44)=0,"",COUNTIF(K42:K45,"3"))</f>
        <v>3</v>
      </c>
      <c r="S44" s="2">
        <f>IF(SUM(G44:P44)=0,"",SUM(L42:L45))</f>
        <v>3</v>
      </c>
      <c r="T44" s="3">
        <f>IF(SUM(G44:P44)=0,"",SUM(K42:K45))</f>
        <v>9</v>
      </c>
      <c r="U44" s="366">
        <v>4</v>
      </c>
      <c r="V44" s="367"/>
      <c r="W44" s="4">
        <f>+X48+X51+W53</f>
        <v>103</v>
      </c>
      <c r="X44" s="4">
        <f>+W48+W51+X53</f>
        <v>120</v>
      </c>
      <c r="Y44" s="5">
        <f>+W44-X44</f>
        <v>-17</v>
      </c>
    </row>
    <row r="45" spans="2:25" ht="15.75" thickBot="1">
      <c r="B45" s="50">
        <f>U45</f>
        <v>3</v>
      </c>
      <c r="C45" s="69" t="s">
        <v>9</v>
      </c>
      <c r="D45" s="280"/>
      <c r="E45" s="291" t="s">
        <v>91</v>
      </c>
      <c r="F45" s="232" t="s">
        <v>92</v>
      </c>
      <c r="G45" s="90">
        <f>T50</f>
        <v>3</v>
      </c>
      <c r="H45" s="177">
        <f>S50</f>
        <v>1</v>
      </c>
      <c r="I45" s="178">
        <f>T49</f>
        <v>1</v>
      </c>
      <c r="J45" s="179">
        <f>S49</f>
        <v>3</v>
      </c>
      <c r="K45" s="177">
        <f>T53</f>
        <v>3</v>
      </c>
      <c r="L45" s="177">
        <f>S53</f>
        <v>1</v>
      </c>
      <c r="M45" s="180"/>
      <c r="N45" s="181"/>
      <c r="O45" s="177"/>
      <c r="P45" s="91"/>
      <c r="Q45" s="239">
        <f>IF(SUM(G45:P45)=0,"",COUNTIF(N42:N45,"3"))</f>
        <v>2</v>
      </c>
      <c r="R45" s="240">
        <f>IF(SUM(H45:Q45)=0,"",COUNTIF(M42:M45,"3"))</f>
        <v>1</v>
      </c>
      <c r="S45" s="70">
        <f>IF(SUM(G45:P46)=0,"",SUM(N42:N45))</f>
        <v>7</v>
      </c>
      <c r="T45" s="71">
        <f>IF(SUM(G45:P45)=0,"",SUM(M42:M45))</f>
        <v>5</v>
      </c>
      <c r="U45" s="368">
        <v>3</v>
      </c>
      <c r="V45" s="369"/>
      <c r="W45" s="4">
        <f>+X49+X50+X53</f>
        <v>114</v>
      </c>
      <c r="X45" s="4">
        <f>+W49+W50+W53</f>
        <v>118</v>
      </c>
      <c r="Y45" s="5">
        <f>+W45-X45</f>
        <v>-4</v>
      </c>
    </row>
    <row r="46" spans="3:27" ht="15">
      <c r="C46" s="75"/>
      <c r="D46" s="267"/>
      <c r="E46" s="96" t="s">
        <v>67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61"/>
      <c r="V46" s="130"/>
      <c r="W46" s="6"/>
      <c r="X46" s="7" t="s">
        <v>16</v>
      </c>
      <c r="Y46" s="8">
        <f>SUM(Y42:Y45)</f>
        <v>0</v>
      </c>
      <c r="Z46" s="7" t="str">
        <f>IF(Y46=0,"OK","Virhe")</f>
        <v>OK</v>
      </c>
      <c r="AA46" s="9"/>
    </row>
    <row r="47" spans="3:25" ht="15.75" thickBot="1">
      <c r="C47" s="75"/>
      <c r="D47" s="267"/>
      <c r="E47" s="95" t="s">
        <v>17</v>
      </c>
      <c r="F47" s="10"/>
      <c r="G47" s="10"/>
      <c r="H47" s="11"/>
      <c r="I47" s="370" t="s">
        <v>18</v>
      </c>
      <c r="J47" s="371"/>
      <c r="K47" s="372" t="s">
        <v>19</v>
      </c>
      <c r="L47" s="371"/>
      <c r="M47" s="372" t="s">
        <v>20</v>
      </c>
      <c r="N47" s="371"/>
      <c r="O47" s="372" t="s">
        <v>21</v>
      </c>
      <c r="P47" s="371"/>
      <c r="Q47" s="372" t="s">
        <v>22</v>
      </c>
      <c r="R47" s="371"/>
      <c r="S47" s="322" t="s">
        <v>23</v>
      </c>
      <c r="T47" s="317"/>
      <c r="U47" s="21"/>
      <c r="V47" s="80"/>
      <c r="W47" s="77" t="s">
        <v>14</v>
      </c>
      <c r="X47" s="12"/>
      <c r="Y47" s="1" t="s">
        <v>15</v>
      </c>
    </row>
    <row r="48" spans="3:37" ht="15">
      <c r="C48" s="76" t="s">
        <v>24</v>
      </c>
      <c r="D48" s="268"/>
      <c r="E48" s="109" t="str">
        <f>IF(E42&gt;"",E42,"")</f>
        <v>Ilkka Härmälä</v>
      </c>
      <c r="F48" s="104" t="str">
        <f>IF(E44&gt;"",E44,"")</f>
        <v>Jarno Lehtonen</v>
      </c>
      <c r="G48" s="13"/>
      <c r="H48" s="14"/>
      <c r="I48" s="362">
        <v>8</v>
      </c>
      <c r="J48" s="363"/>
      <c r="K48" s="362">
        <v>7</v>
      </c>
      <c r="L48" s="363"/>
      <c r="M48" s="362">
        <v>-6</v>
      </c>
      <c r="N48" s="363"/>
      <c r="O48" s="362">
        <v>5</v>
      </c>
      <c r="P48" s="363"/>
      <c r="Q48" s="365"/>
      <c r="R48" s="364"/>
      <c r="S48" s="253">
        <f aca="true" t="shared" si="22" ref="S48:S53">IF(COUNT(I48:Q48)=0,"",COUNTIF(I48:Q48,"&gt;=0"))</f>
        <v>3</v>
      </c>
      <c r="T48" s="254">
        <f aca="true" t="shared" si="23" ref="T48:T53">IF(COUNT(I48:Q48)=0,"",(IF(LEFT(I48,1)="-",1,0)+IF(LEFT(K48,1)="-",1,0)+IF(LEFT(M48,1)="-",1,0)+IF(LEFT(O48,1)="-",1,0)+IF(LEFT(Q48,1)="-",1,0)))</f>
        <v>1</v>
      </c>
      <c r="U48" s="15"/>
      <c r="V48" s="81"/>
      <c r="W48" s="78">
        <f aca="true" t="shared" si="24" ref="W48:X53">+AB48+AD48+AF48+AH48+AJ48</f>
        <v>39</v>
      </c>
      <c r="X48" s="16">
        <f t="shared" si="24"/>
        <v>31</v>
      </c>
      <c r="Y48" s="17">
        <f aca="true" t="shared" si="25" ref="Y48:Y53">+W48-X48</f>
        <v>8</v>
      </c>
      <c r="AB48" s="18">
        <f>IF(I48="",0,IF(LEFT(I48,1)="-",ABS(I48),(IF(I48&gt;9,I48+2,11))))</f>
        <v>11</v>
      </c>
      <c r="AC48" s="19">
        <f aca="true" t="shared" si="26" ref="AC48:AC53">IF(I48="",0,IF(LEFT(I48,1)="-",(IF(ABS(I48)&gt;9,(ABS(I48)+2),11)),I48))</f>
        <v>8</v>
      </c>
      <c r="AD48" s="18">
        <f>IF(K48="",0,IF(LEFT(K48,1)="-",ABS(K48),(IF(K48&gt;9,K48+2,11))))</f>
        <v>11</v>
      </c>
      <c r="AE48" s="19">
        <f aca="true" t="shared" si="27" ref="AE48:AE53">IF(K48="",0,IF(LEFT(K48,1)="-",(IF(ABS(K48)&gt;9,(ABS(K48)+2),11)),K48))</f>
        <v>7</v>
      </c>
      <c r="AF48" s="18">
        <f>IF(M48="",0,IF(LEFT(M48,1)="-",ABS(M48),(IF(M48&gt;9,M48+2,11))))</f>
        <v>6</v>
      </c>
      <c r="AG48" s="19">
        <f aca="true" t="shared" si="28" ref="AG48:AG53">IF(M48="",0,IF(LEFT(M48,1)="-",(IF(ABS(M48)&gt;9,(ABS(M48)+2),11)),M48))</f>
        <v>11</v>
      </c>
      <c r="AH48" s="18">
        <f>IF(O48="",0,IF(LEFT(O48,1)="-",ABS(O48),(IF(O48&gt;9,O48+2,11))))</f>
        <v>11</v>
      </c>
      <c r="AI48" s="19">
        <f aca="true" t="shared" si="29" ref="AI48:AI53">IF(O48="",0,IF(LEFT(O48,1)="-",(IF(ABS(O48)&gt;9,(ABS(O48)+2),11)),O48))</f>
        <v>5</v>
      </c>
      <c r="AJ48" s="18">
        <f aca="true" t="shared" si="30" ref="AJ48:AJ53">IF(Q48="",0,IF(LEFT(Q48,1)="-",ABS(Q48),(IF(Q48&gt;9,Q48+2,11))))</f>
        <v>0</v>
      </c>
      <c r="AK48" s="19">
        <f aca="true" t="shared" si="31" ref="AK48:AK53">IF(Q48="",0,IF(LEFT(Q48,1)="-",(IF(ABS(Q48)&gt;9,(ABS(Q48)+2),11)),Q48))</f>
        <v>0</v>
      </c>
    </row>
    <row r="49" spans="3:37" ht="15">
      <c r="C49" s="76" t="s">
        <v>25</v>
      </c>
      <c r="D49" s="268"/>
      <c r="E49" s="109" t="str">
        <f>IF(E43&gt;"",E43,"")</f>
        <v>Marko Holopainen</v>
      </c>
      <c r="F49" s="105" t="str">
        <f>IF(E45&gt;"",E45,"")</f>
        <v>Matti Lappalainen</v>
      </c>
      <c r="G49" s="20"/>
      <c r="H49" s="14"/>
      <c r="I49" s="353">
        <v>-9</v>
      </c>
      <c r="J49" s="354"/>
      <c r="K49" s="353">
        <v>3</v>
      </c>
      <c r="L49" s="354"/>
      <c r="M49" s="353">
        <v>10</v>
      </c>
      <c r="N49" s="354"/>
      <c r="O49" s="353">
        <v>6</v>
      </c>
      <c r="P49" s="354"/>
      <c r="Q49" s="353"/>
      <c r="R49" s="357"/>
      <c r="S49" s="255">
        <f t="shared" si="22"/>
        <v>3</v>
      </c>
      <c r="T49" s="244">
        <f t="shared" si="23"/>
        <v>1</v>
      </c>
      <c r="U49" s="21"/>
      <c r="V49" s="82"/>
      <c r="W49" s="78">
        <f t="shared" si="24"/>
        <v>43</v>
      </c>
      <c r="X49" s="16">
        <f t="shared" si="24"/>
        <v>30</v>
      </c>
      <c r="Y49" s="17">
        <f t="shared" si="25"/>
        <v>13</v>
      </c>
      <c r="AB49" s="22">
        <f>IF(I49="",0,IF(LEFT(I49,1)="-",ABS(I49),(IF(I49&gt;9,I49+2,11))))</f>
        <v>9</v>
      </c>
      <c r="AC49" s="23">
        <f t="shared" si="26"/>
        <v>11</v>
      </c>
      <c r="AD49" s="22">
        <f>IF(K49="",0,IF(LEFT(K49,1)="-",ABS(K49),(IF(K49&gt;9,K49+2,11))))</f>
        <v>11</v>
      </c>
      <c r="AE49" s="23">
        <f t="shared" si="27"/>
        <v>3</v>
      </c>
      <c r="AF49" s="22">
        <f>IF(M49="",0,IF(LEFT(M49,1)="-",ABS(M49),(IF(M49&gt;9,M49+2,11))))</f>
        <v>12</v>
      </c>
      <c r="AG49" s="23">
        <f t="shared" si="28"/>
        <v>10</v>
      </c>
      <c r="AH49" s="22">
        <f>IF(O49="",0,IF(LEFT(O49,1)="-",ABS(O49),(IF(O49&gt;9,O49+2,11))))</f>
        <v>11</v>
      </c>
      <c r="AI49" s="23">
        <f t="shared" si="29"/>
        <v>6</v>
      </c>
      <c r="AJ49" s="22">
        <f t="shared" si="30"/>
        <v>0</v>
      </c>
      <c r="AK49" s="23">
        <f t="shared" si="31"/>
        <v>0</v>
      </c>
    </row>
    <row r="50" spans="3:37" ht="15">
      <c r="C50" s="76" t="s">
        <v>26</v>
      </c>
      <c r="D50" s="268"/>
      <c r="E50" s="110" t="str">
        <f>IF(E42&gt;"",E42,"")</f>
        <v>Ilkka Härmälä</v>
      </c>
      <c r="F50" s="106" t="str">
        <f>IF(E45&gt;"",E45,"")</f>
        <v>Matti Lappalainen</v>
      </c>
      <c r="G50" s="20"/>
      <c r="H50" s="94"/>
      <c r="I50" s="353">
        <v>-7</v>
      </c>
      <c r="J50" s="354"/>
      <c r="K50" s="353">
        <v>-8</v>
      </c>
      <c r="L50" s="354"/>
      <c r="M50" s="353">
        <v>17</v>
      </c>
      <c r="N50" s="354"/>
      <c r="O50" s="353">
        <v>-9</v>
      </c>
      <c r="P50" s="354"/>
      <c r="Q50" s="353"/>
      <c r="R50" s="357"/>
      <c r="S50" s="255">
        <f t="shared" si="22"/>
        <v>1</v>
      </c>
      <c r="T50" s="244">
        <f t="shared" si="23"/>
        <v>3</v>
      </c>
      <c r="U50" s="21"/>
      <c r="V50" s="82"/>
      <c r="W50" s="78">
        <f t="shared" si="24"/>
        <v>43</v>
      </c>
      <c r="X50" s="16">
        <f t="shared" si="24"/>
        <v>50</v>
      </c>
      <c r="Y50" s="17">
        <f t="shared" si="25"/>
        <v>-7</v>
      </c>
      <c r="AB50" s="22">
        <f aca="true" t="shared" si="32" ref="AB50:AH53">IF(I50="",0,IF(LEFT(I50,1)="-",ABS(I50),(IF(I50&gt;9,I50+2,11))))</f>
        <v>7</v>
      </c>
      <c r="AC50" s="23">
        <f t="shared" si="26"/>
        <v>11</v>
      </c>
      <c r="AD50" s="22">
        <f t="shared" si="32"/>
        <v>8</v>
      </c>
      <c r="AE50" s="23">
        <f t="shared" si="27"/>
        <v>11</v>
      </c>
      <c r="AF50" s="22">
        <f t="shared" si="32"/>
        <v>19</v>
      </c>
      <c r="AG50" s="23">
        <f t="shared" si="28"/>
        <v>17</v>
      </c>
      <c r="AH50" s="22">
        <f t="shared" si="32"/>
        <v>9</v>
      </c>
      <c r="AI50" s="23">
        <f t="shared" si="29"/>
        <v>11</v>
      </c>
      <c r="AJ50" s="22">
        <f t="shared" si="30"/>
        <v>0</v>
      </c>
      <c r="AK50" s="23">
        <f t="shared" si="31"/>
        <v>0</v>
      </c>
    </row>
    <row r="51" spans="3:37" ht="15">
      <c r="C51" s="76" t="s">
        <v>27</v>
      </c>
      <c r="D51" s="268"/>
      <c r="E51" s="109" t="str">
        <f>IF(E43&gt;"",E43,"")</f>
        <v>Marko Holopainen</v>
      </c>
      <c r="F51" s="105" t="str">
        <f>IF(E44&gt;"",E44,"")</f>
        <v>Jarno Lehtonen</v>
      </c>
      <c r="G51" s="13"/>
      <c r="H51" s="14"/>
      <c r="I51" s="362">
        <v>7</v>
      </c>
      <c r="J51" s="363"/>
      <c r="K51" s="362">
        <v>14</v>
      </c>
      <c r="L51" s="363"/>
      <c r="M51" s="362">
        <v>-9</v>
      </c>
      <c r="N51" s="363"/>
      <c r="O51" s="362">
        <v>8</v>
      </c>
      <c r="P51" s="363"/>
      <c r="Q51" s="362"/>
      <c r="R51" s="364"/>
      <c r="S51" s="255">
        <f t="shared" si="22"/>
        <v>3</v>
      </c>
      <c r="T51" s="244">
        <f t="shared" si="23"/>
        <v>1</v>
      </c>
      <c r="U51" s="21"/>
      <c r="V51" s="82"/>
      <c r="W51" s="78">
        <f t="shared" si="24"/>
        <v>47</v>
      </c>
      <c r="X51" s="16">
        <f t="shared" si="24"/>
        <v>40</v>
      </c>
      <c r="Y51" s="17">
        <f t="shared" si="25"/>
        <v>7</v>
      </c>
      <c r="AB51" s="22">
        <f t="shared" si="32"/>
        <v>11</v>
      </c>
      <c r="AC51" s="23">
        <f t="shared" si="26"/>
        <v>7</v>
      </c>
      <c r="AD51" s="22">
        <f t="shared" si="32"/>
        <v>16</v>
      </c>
      <c r="AE51" s="23">
        <f t="shared" si="27"/>
        <v>14</v>
      </c>
      <c r="AF51" s="22">
        <f t="shared" si="32"/>
        <v>9</v>
      </c>
      <c r="AG51" s="23">
        <f t="shared" si="28"/>
        <v>11</v>
      </c>
      <c r="AH51" s="22">
        <f t="shared" si="32"/>
        <v>11</v>
      </c>
      <c r="AI51" s="23">
        <f t="shared" si="29"/>
        <v>8</v>
      </c>
      <c r="AJ51" s="22">
        <f t="shared" si="30"/>
        <v>0</v>
      </c>
      <c r="AK51" s="23">
        <f t="shared" si="31"/>
        <v>0</v>
      </c>
    </row>
    <row r="52" spans="3:37" ht="15">
      <c r="C52" s="76" t="s">
        <v>28</v>
      </c>
      <c r="D52" s="268"/>
      <c r="E52" s="109" t="str">
        <f>IF(E42&gt;"",E42,"")</f>
        <v>Ilkka Härmälä</v>
      </c>
      <c r="F52" s="105" t="str">
        <f>IF(E43&gt;"",E43,"")</f>
        <v>Marko Holopainen</v>
      </c>
      <c r="G52" s="20"/>
      <c r="H52" s="14"/>
      <c r="I52" s="353">
        <v>-6</v>
      </c>
      <c r="J52" s="354"/>
      <c r="K52" s="353">
        <v>7</v>
      </c>
      <c r="L52" s="354"/>
      <c r="M52" s="361">
        <v>8</v>
      </c>
      <c r="N52" s="354"/>
      <c r="O52" s="353">
        <v>8</v>
      </c>
      <c r="P52" s="354"/>
      <c r="Q52" s="353"/>
      <c r="R52" s="357"/>
      <c r="S52" s="255">
        <f t="shared" si="22"/>
        <v>3</v>
      </c>
      <c r="T52" s="244">
        <f t="shared" si="23"/>
        <v>1</v>
      </c>
      <c r="U52" s="21"/>
      <c r="V52" s="82"/>
      <c r="W52" s="78">
        <f t="shared" si="24"/>
        <v>39</v>
      </c>
      <c r="X52" s="16">
        <f t="shared" si="24"/>
        <v>34</v>
      </c>
      <c r="Y52" s="17">
        <f t="shared" si="25"/>
        <v>5</v>
      </c>
      <c r="AB52" s="22">
        <f t="shared" si="32"/>
        <v>6</v>
      </c>
      <c r="AC52" s="23">
        <f t="shared" si="26"/>
        <v>11</v>
      </c>
      <c r="AD52" s="22">
        <f t="shared" si="32"/>
        <v>11</v>
      </c>
      <c r="AE52" s="23">
        <f t="shared" si="27"/>
        <v>7</v>
      </c>
      <c r="AF52" s="22">
        <f t="shared" si="32"/>
        <v>11</v>
      </c>
      <c r="AG52" s="23">
        <f t="shared" si="28"/>
        <v>8</v>
      </c>
      <c r="AH52" s="22">
        <f t="shared" si="32"/>
        <v>11</v>
      </c>
      <c r="AI52" s="23">
        <f t="shared" si="29"/>
        <v>8</v>
      </c>
      <c r="AJ52" s="22">
        <f t="shared" si="30"/>
        <v>0</v>
      </c>
      <c r="AK52" s="23">
        <f t="shared" si="31"/>
        <v>0</v>
      </c>
    </row>
    <row r="53" spans="3:37" ht="15.75" thickBot="1">
      <c r="C53" s="83" t="s">
        <v>29</v>
      </c>
      <c r="D53" s="269"/>
      <c r="E53" s="111" t="str">
        <f>IF(E44&gt;"",E44,"")</f>
        <v>Jarno Lehtonen</v>
      </c>
      <c r="F53" s="107" t="str">
        <f>IF(E45&gt;"",E45,"")</f>
        <v>Matti Lappalainen</v>
      </c>
      <c r="G53" s="10"/>
      <c r="H53" s="42"/>
      <c r="I53" s="358">
        <v>-8</v>
      </c>
      <c r="J53" s="359"/>
      <c r="K53" s="358">
        <v>-7</v>
      </c>
      <c r="L53" s="359"/>
      <c r="M53" s="358">
        <v>1</v>
      </c>
      <c r="N53" s="359"/>
      <c r="O53" s="358">
        <v>-6</v>
      </c>
      <c r="P53" s="359"/>
      <c r="Q53" s="358"/>
      <c r="R53" s="360"/>
      <c r="S53" s="245">
        <f t="shared" si="22"/>
        <v>1</v>
      </c>
      <c r="T53" s="246">
        <f t="shared" si="23"/>
        <v>3</v>
      </c>
      <c r="U53" s="84"/>
      <c r="V53" s="85"/>
      <c r="W53" s="78">
        <f t="shared" si="24"/>
        <v>32</v>
      </c>
      <c r="X53" s="16">
        <f t="shared" si="24"/>
        <v>34</v>
      </c>
      <c r="Y53" s="17">
        <f t="shared" si="25"/>
        <v>-2</v>
      </c>
      <c r="AB53" s="24">
        <f t="shared" si="32"/>
        <v>8</v>
      </c>
      <c r="AC53" s="25">
        <f t="shared" si="26"/>
        <v>11</v>
      </c>
      <c r="AD53" s="24">
        <f t="shared" si="32"/>
        <v>7</v>
      </c>
      <c r="AE53" s="25">
        <f t="shared" si="27"/>
        <v>11</v>
      </c>
      <c r="AF53" s="24">
        <f t="shared" si="32"/>
        <v>11</v>
      </c>
      <c r="AG53" s="25">
        <f t="shared" si="28"/>
        <v>1</v>
      </c>
      <c r="AH53" s="24">
        <f t="shared" si="32"/>
        <v>6</v>
      </c>
      <c r="AI53" s="25">
        <f t="shared" si="29"/>
        <v>11</v>
      </c>
      <c r="AJ53" s="24">
        <f t="shared" si="30"/>
        <v>0</v>
      </c>
      <c r="AK53" s="25">
        <f t="shared" si="31"/>
        <v>0</v>
      </c>
    </row>
    <row r="55" spans="6:9" ht="16.5" thickBot="1">
      <c r="F55" s="229" t="s">
        <v>62</v>
      </c>
      <c r="G55" s="229"/>
      <c r="H55" s="229"/>
      <c r="I55" s="229"/>
    </row>
    <row r="56" spans="3:23" ht="15.75">
      <c r="C56" s="51"/>
      <c r="D56" s="271"/>
      <c r="E56" s="234" t="str">
        <f>$E$5</f>
        <v>TOP-12 2-karsinta</v>
      </c>
      <c r="F56" s="52"/>
      <c r="G56" s="52"/>
      <c r="H56" s="52"/>
      <c r="I56" s="53"/>
      <c r="J56" s="331"/>
      <c r="K56" s="332"/>
      <c r="L56" s="332"/>
      <c r="M56" s="182"/>
      <c r="N56" s="55"/>
      <c r="O56" s="55"/>
      <c r="P56" s="55"/>
      <c r="Q56" s="183" t="s">
        <v>0</v>
      </c>
      <c r="R56" s="184"/>
      <c r="S56" s="333" t="s">
        <v>46</v>
      </c>
      <c r="T56" s="333"/>
      <c r="U56" s="333"/>
      <c r="V56" s="333"/>
      <c r="W56" s="185"/>
    </row>
    <row r="57" spans="3:26" ht="16.5" thickBot="1">
      <c r="C57" s="126"/>
      <c r="D57" s="272"/>
      <c r="E57" s="235" t="str">
        <f>$E$6</f>
        <v>SPTL</v>
      </c>
      <c r="F57" s="127" t="s">
        <v>1</v>
      </c>
      <c r="G57" s="334"/>
      <c r="H57" s="355"/>
      <c r="I57" s="356"/>
      <c r="J57" s="336" t="s">
        <v>2</v>
      </c>
      <c r="K57" s="337"/>
      <c r="L57" s="337"/>
      <c r="M57" s="338">
        <f>$M$6</f>
        <v>40671</v>
      </c>
      <c r="N57" s="338"/>
      <c r="O57" s="338"/>
      <c r="P57" s="339"/>
      <c r="Q57" s="340" t="s">
        <v>3</v>
      </c>
      <c r="R57" s="341"/>
      <c r="S57" s="342" t="str">
        <f>$S$6</f>
        <v>11.00</v>
      </c>
      <c r="T57" s="343"/>
      <c r="U57" s="343"/>
      <c r="V57" s="344"/>
      <c r="W57" s="190"/>
      <c r="X57" s="26"/>
      <c r="Y57" s="26"/>
      <c r="Z57" s="26"/>
    </row>
    <row r="58" spans="3:26" ht="15">
      <c r="C58" s="62"/>
      <c r="D58" s="277"/>
      <c r="E58" s="206" t="s">
        <v>4</v>
      </c>
      <c r="F58" s="207" t="s">
        <v>5</v>
      </c>
      <c r="G58" s="330" t="s">
        <v>6</v>
      </c>
      <c r="H58" s="346"/>
      <c r="I58" s="350" t="s">
        <v>7</v>
      </c>
      <c r="J58" s="351"/>
      <c r="K58" s="352" t="s">
        <v>8</v>
      </c>
      <c r="L58" s="346"/>
      <c r="M58" s="350" t="s">
        <v>9</v>
      </c>
      <c r="N58" s="351"/>
      <c r="O58" s="345" t="s">
        <v>30</v>
      </c>
      <c r="P58" s="346"/>
      <c r="Q58" s="347" t="s">
        <v>31</v>
      </c>
      <c r="R58" s="321"/>
      <c r="S58" s="63" t="s">
        <v>10</v>
      </c>
      <c r="T58" s="64" t="s">
        <v>11</v>
      </c>
      <c r="U58" s="326" t="s">
        <v>12</v>
      </c>
      <c r="V58" s="327"/>
      <c r="W58" s="191" t="s">
        <v>13</v>
      </c>
      <c r="X58" s="328" t="s">
        <v>14</v>
      </c>
      <c r="Y58" s="329"/>
      <c r="Z58" s="1" t="s">
        <v>15</v>
      </c>
    </row>
    <row r="59" spans="2:26" ht="15">
      <c r="B59" s="50">
        <f aca="true" t="shared" si="33" ref="B59:B64">W59</f>
        <v>1</v>
      </c>
      <c r="C59" s="274">
        <v>1</v>
      </c>
      <c r="D59" s="283" t="s">
        <v>48</v>
      </c>
      <c r="E59" s="282" t="str">
        <f>VLOOKUP(1,$B$8:$F$11,4,FALSE)</f>
        <v>Leo Kivelä</v>
      </c>
      <c r="F59" s="195" t="str">
        <f>VLOOKUP(1,$B$8:$F$11,5,FALSE)</f>
        <v>LPTS</v>
      </c>
      <c r="G59" s="27"/>
      <c r="H59" s="131"/>
      <c r="I59" s="132">
        <f>+S79</f>
        <v>3</v>
      </c>
      <c r="J59" s="133">
        <f>+T79</f>
        <v>1</v>
      </c>
      <c r="K59" s="38">
        <f>S73</f>
        <v>3</v>
      </c>
      <c r="L59" s="38">
        <f>T73</f>
        <v>1</v>
      </c>
      <c r="M59" s="132">
        <f>S70</f>
        <v>3</v>
      </c>
      <c r="N59" s="133">
        <f>T70</f>
        <v>1</v>
      </c>
      <c r="O59" s="38">
        <f>S67</f>
        <v>3</v>
      </c>
      <c r="P59" s="38">
        <f>T67</f>
        <v>2</v>
      </c>
      <c r="Q59" s="132">
        <f>S76</f>
        <v>1</v>
      </c>
      <c r="R59" s="30">
        <f>T76</f>
        <v>3</v>
      </c>
      <c r="S59" s="31">
        <f>IF(SUM(G59:R59)=0,"",COUNTIF(H59:H64,"3"))</f>
        <v>4</v>
      </c>
      <c r="T59" s="32">
        <f>IF(SUM(H59:S59)=0,"",COUNTIF(G59:G64,"3"))</f>
        <v>1</v>
      </c>
      <c r="U59" s="2">
        <f>IF(SUM(H59:H64)=0,"",SUM(H59:H64))</f>
        <v>13</v>
      </c>
      <c r="V59" s="3">
        <f>IF(SUM(G59:G64)=0,"",SUM(G59:G64))</f>
        <v>8</v>
      </c>
      <c r="W59" s="256">
        <v>1</v>
      </c>
      <c r="X59" s="4">
        <f>+U67+U70+U73+U76+U79</f>
        <v>211</v>
      </c>
      <c r="Y59" s="4">
        <f>+V67+V70+V73+V76+V79</f>
        <v>187</v>
      </c>
      <c r="Z59" s="5">
        <f aca="true" t="shared" si="34" ref="Z59:Z64">+X59-Y59</f>
        <v>24</v>
      </c>
    </row>
    <row r="60" spans="2:26" ht="15">
      <c r="B60" s="50">
        <f t="shared" si="33"/>
        <v>6</v>
      </c>
      <c r="C60" s="275">
        <v>2</v>
      </c>
      <c r="D60" s="283" t="s">
        <v>49</v>
      </c>
      <c r="E60" s="282" t="str">
        <f>VLOOKUP(1,$B$25:$F$28,4,FALSE)</f>
        <v>Riku Autio</v>
      </c>
      <c r="F60" s="195" t="str">
        <f>VLOOKUP(1,$B$25:$F$28,5,FALSE)</f>
        <v>KoKa</v>
      </c>
      <c r="G60" s="33">
        <f>+T79</f>
        <v>1</v>
      </c>
      <c r="H60" s="134">
        <f>+S79</f>
        <v>3</v>
      </c>
      <c r="I60" s="135"/>
      <c r="J60" s="136"/>
      <c r="K60" s="134">
        <f>S77</f>
        <v>1</v>
      </c>
      <c r="L60" s="134">
        <f>T77</f>
        <v>3</v>
      </c>
      <c r="M60" s="137">
        <f>S68</f>
        <v>1</v>
      </c>
      <c r="N60" s="138">
        <f>T68</f>
        <v>3</v>
      </c>
      <c r="O60" s="38">
        <f>S74</f>
        <v>2</v>
      </c>
      <c r="P60" s="38">
        <f>T74</f>
        <v>3</v>
      </c>
      <c r="Q60" s="132">
        <f>S71</f>
        <v>3</v>
      </c>
      <c r="R60" s="30">
        <f>T71</f>
        <v>1</v>
      </c>
      <c r="S60" s="31">
        <f>IF(SUM(G60:R60)=0,"",COUNTIF(J59:J64,"3"))</f>
        <v>1</v>
      </c>
      <c r="T60" s="32">
        <f>IF(SUM(H60:S60)=0,"",COUNTIF(I59:I64,"3"))</f>
        <v>4</v>
      </c>
      <c r="U60" s="2">
        <f>IF(SUM(J59:J64)=0,"",SUM(J59:J64))</f>
        <v>8</v>
      </c>
      <c r="V60" s="3">
        <f>IF(SUM(I59:I64)=0,"",SUM(I59:I64))</f>
        <v>13</v>
      </c>
      <c r="W60" s="256">
        <v>6</v>
      </c>
      <c r="X60" s="4">
        <f>+U68+U71+U74+U77+V79</f>
        <v>190</v>
      </c>
      <c r="Y60" s="4">
        <f>+V68+V71+V74+V77+U79</f>
        <v>202</v>
      </c>
      <c r="Z60" s="5">
        <f t="shared" si="34"/>
        <v>-12</v>
      </c>
    </row>
    <row r="61" spans="2:26" ht="15">
      <c r="B61" s="50">
        <f t="shared" si="33"/>
        <v>5</v>
      </c>
      <c r="C61" s="275">
        <v>3</v>
      </c>
      <c r="D61" s="283" t="s">
        <v>50</v>
      </c>
      <c r="E61" s="282" t="str">
        <f>VLOOKUP(1,$B$42:$F$45,4,FALSE)</f>
        <v>Marko Holopainen</v>
      </c>
      <c r="F61" s="195" t="str">
        <f>VLOOKUP(1,$B$42:$F$45,5,FALSE)</f>
        <v>KuPTS</v>
      </c>
      <c r="G61" s="33">
        <f>+T73</f>
        <v>1</v>
      </c>
      <c r="H61" s="134">
        <f>+S73</f>
        <v>3</v>
      </c>
      <c r="I61" s="137">
        <f>T77</f>
        <v>3</v>
      </c>
      <c r="J61" s="138">
        <f>S77</f>
        <v>1</v>
      </c>
      <c r="K61" s="37"/>
      <c r="L61" s="37"/>
      <c r="M61" s="137">
        <f>S80</f>
        <v>0</v>
      </c>
      <c r="N61" s="138">
        <f>T80</f>
        <v>3</v>
      </c>
      <c r="O61" s="38">
        <f>S72</f>
        <v>1</v>
      </c>
      <c r="P61" s="38">
        <f>T72</f>
        <v>3</v>
      </c>
      <c r="Q61" s="132">
        <f>S69</f>
        <v>1</v>
      </c>
      <c r="R61" s="30">
        <f>T69</f>
        <v>3</v>
      </c>
      <c r="S61" s="31">
        <f>IF(SUM(G61:R61)=0,"",COUNTIF(L59:L64,"3"))</f>
        <v>1</v>
      </c>
      <c r="T61" s="32">
        <f>IF(SUM(H61:S61)=0,"",COUNTIF(K59:K64,"3"))</f>
        <v>4</v>
      </c>
      <c r="U61" s="2">
        <f>IF(SUM(L59:L64)=0,"",SUM(L59:L64))</f>
        <v>6</v>
      </c>
      <c r="V61" s="3">
        <f>IF(SUM(K59:K64)=0,"",SUM(K59:K64))</f>
        <v>13</v>
      </c>
      <c r="W61" s="256">
        <v>5</v>
      </c>
      <c r="X61" s="4">
        <f>+U69+U72+V73+V77+U80</f>
        <v>164</v>
      </c>
      <c r="Y61" s="4">
        <f>+V69+V72+U73+U77+V80</f>
        <v>184</v>
      </c>
      <c r="Z61" s="5">
        <f t="shared" si="34"/>
        <v>-20</v>
      </c>
    </row>
    <row r="62" spans="2:26" ht="15">
      <c r="B62" s="50">
        <f t="shared" si="33"/>
        <v>4</v>
      </c>
      <c r="C62" s="275">
        <v>4</v>
      </c>
      <c r="D62" s="283" t="s">
        <v>51</v>
      </c>
      <c r="E62" s="282" t="str">
        <f>VLOOKUP(2,$B$25:$F$28,4,FALSE)</f>
        <v>Thomas Lundström</v>
      </c>
      <c r="F62" s="195" t="str">
        <f>VLOOKUP(2,$B$25:$F$28,5,FALSE)</f>
        <v>MBF</v>
      </c>
      <c r="G62" s="33">
        <f>T70</f>
        <v>1</v>
      </c>
      <c r="H62" s="134">
        <f>S70</f>
        <v>3</v>
      </c>
      <c r="I62" s="137">
        <f>T68</f>
        <v>3</v>
      </c>
      <c r="J62" s="138">
        <f>S68</f>
        <v>1</v>
      </c>
      <c r="K62" s="134">
        <f>T80</f>
        <v>3</v>
      </c>
      <c r="L62" s="134">
        <f>S80</f>
        <v>0</v>
      </c>
      <c r="M62" s="135"/>
      <c r="N62" s="136"/>
      <c r="O62" s="38">
        <f>S78</f>
        <v>1</v>
      </c>
      <c r="P62" s="38">
        <f>T78</f>
        <v>3</v>
      </c>
      <c r="Q62" s="132">
        <f>S75</f>
        <v>3</v>
      </c>
      <c r="R62" s="30">
        <f>T75</f>
        <v>1</v>
      </c>
      <c r="S62" s="31">
        <f>IF(SUM(G62:R62)=0,"",COUNTIF(N59:N64,"3"))</f>
        <v>3</v>
      </c>
      <c r="T62" s="32">
        <f>IF(SUM(H62:S62)=0,"",COUNTIF(M59:M64,"3"))</f>
        <v>2</v>
      </c>
      <c r="U62" s="2">
        <f>IF(SUM(N59:N64)=0,"",SUM(N59:N64))</f>
        <v>11</v>
      </c>
      <c r="V62" s="3">
        <f>IF(SUM(M59:M64)=0,"",SUM(M59:M64))</f>
        <v>8</v>
      </c>
      <c r="W62" s="256">
        <v>4</v>
      </c>
      <c r="X62" s="4">
        <f>+V68+V70+U75+U78+V80</f>
        <v>178</v>
      </c>
      <c r="Y62" s="4">
        <f>+U68+U70+V75+V78+U80</f>
        <v>180</v>
      </c>
      <c r="Z62" s="5">
        <f t="shared" si="34"/>
        <v>-2</v>
      </c>
    </row>
    <row r="63" spans="2:27" ht="15">
      <c r="B63" s="50">
        <f t="shared" si="33"/>
        <v>3</v>
      </c>
      <c r="C63" s="275">
        <v>5</v>
      </c>
      <c r="D63" s="283" t="s">
        <v>52</v>
      </c>
      <c r="E63" s="282" t="str">
        <f>VLOOKUP(2,$B$8:$F$11,4,FALSE)</f>
        <v>Mika Rauvola</v>
      </c>
      <c r="F63" s="195" t="str">
        <f>VLOOKUP(2,$B$8:$F$11,5,FALSE)</f>
        <v>MBF</v>
      </c>
      <c r="G63" s="33">
        <f>+T67</f>
        <v>2</v>
      </c>
      <c r="H63" s="134">
        <f>+S67</f>
        <v>3</v>
      </c>
      <c r="I63" s="137">
        <f>T74</f>
        <v>3</v>
      </c>
      <c r="J63" s="138">
        <f>S74</f>
        <v>2</v>
      </c>
      <c r="K63" s="134">
        <f>T72</f>
        <v>3</v>
      </c>
      <c r="L63" s="134">
        <f>S72</f>
        <v>1</v>
      </c>
      <c r="M63" s="137">
        <f>T78</f>
        <v>3</v>
      </c>
      <c r="N63" s="138">
        <f>S78</f>
        <v>1</v>
      </c>
      <c r="O63" s="37"/>
      <c r="P63" s="37"/>
      <c r="Q63" s="132">
        <f>S81</f>
        <v>1</v>
      </c>
      <c r="R63" s="30">
        <f>T81</f>
        <v>3</v>
      </c>
      <c r="S63" s="39">
        <f>IF(SUM(G63:R63)=0,"",COUNTIF(P59:P64,"3"))</f>
        <v>3</v>
      </c>
      <c r="T63" s="32">
        <f>IF(SUM(H63:S63)=0,"",COUNTIF(O59:O64,"3"))</f>
        <v>2</v>
      </c>
      <c r="U63" s="2">
        <f>IF(SUM(P59:P64)=0,"",SUM(P59:P64))</f>
        <v>12</v>
      </c>
      <c r="V63" s="3">
        <f>IF(SUM(O59:O64)=0,"",SUM(O59:O64))</f>
        <v>10</v>
      </c>
      <c r="W63" s="256">
        <v>3</v>
      </c>
      <c r="X63" s="4">
        <f>+V67+V72+V74+V78+U81</f>
        <v>209</v>
      </c>
      <c r="Y63" s="4">
        <f>+U67+U72+U74+U78+V81</f>
        <v>203</v>
      </c>
      <c r="Z63" s="5">
        <f t="shared" si="34"/>
        <v>6</v>
      </c>
      <c r="AA63" s="26"/>
    </row>
    <row r="64" spans="2:26" ht="15.75" thickBot="1">
      <c r="B64" s="50">
        <f t="shared" si="33"/>
        <v>2</v>
      </c>
      <c r="C64" s="69">
        <v>6</v>
      </c>
      <c r="D64" s="284" t="s">
        <v>53</v>
      </c>
      <c r="E64" s="197" t="str">
        <f>VLOOKUP(2,$B$42:$F$45,4,FALSE)</f>
        <v>Ilkka Härmälä</v>
      </c>
      <c r="F64" s="196" t="str">
        <f>VLOOKUP(2,$B$42:$F$45,5,FALSE)</f>
        <v>TuKa</v>
      </c>
      <c r="G64" s="139">
        <f>T76</f>
        <v>3</v>
      </c>
      <c r="H64" s="140">
        <f>S76</f>
        <v>1</v>
      </c>
      <c r="I64" s="141">
        <f>T71</f>
        <v>1</v>
      </c>
      <c r="J64" s="142">
        <f>S71</f>
        <v>3</v>
      </c>
      <c r="K64" s="140">
        <f>T69</f>
        <v>3</v>
      </c>
      <c r="L64" s="140">
        <f>S69</f>
        <v>1</v>
      </c>
      <c r="M64" s="141">
        <f>T75</f>
        <v>1</v>
      </c>
      <c r="N64" s="142">
        <f>S75</f>
        <v>3</v>
      </c>
      <c r="O64" s="140">
        <f>T81</f>
        <v>3</v>
      </c>
      <c r="P64" s="140">
        <f>S81</f>
        <v>1</v>
      </c>
      <c r="Q64" s="143"/>
      <c r="R64" s="192"/>
      <c r="S64" s="193">
        <f>IF(SUM(G64:R64)=0,"",COUNTIF(R59:R64,"3"))</f>
        <v>3</v>
      </c>
      <c r="T64" s="194">
        <f>IF(SUM(G64:R64)=0,"",COUNTIF(Q59:Q64,"3"))</f>
        <v>2</v>
      </c>
      <c r="U64" s="70">
        <f>IF(SUM(R59:R64)=0,"",SUM(R59:R64))</f>
        <v>11</v>
      </c>
      <c r="V64" s="71">
        <f>IF(SUM(Q59:Q64)=0,"",SUM(Q59:Q64))</f>
        <v>9</v>
      </c>
      <c r="W64" s="257">
        <v>2</v>
      </c>
      <c r="X64" s="4">
        <f>+V69+V71+V75+V76+V81</f>
        <v>190</v>
      </c>
      <c r="Y64" s="4">
        <f>+U69+U71+U75+U76+U81</f>
        <v>186</v>
      </c>
      <c r="Z64" s="5">
        <f t="shared" si="34"/>
        <v>4</v>
      </c>
    </row>
    <row r="65" spans="3:27" ht="15">
      <c r="C65" s="75"/>
      <c r="D65" s="267"/>
      <c r="E65" s="96" t="s">
        <v>67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0"/>
      <c r="X65" s="26"/>
      <c r="Y65" s="7" t="s">
        <v>16</v>
      </c>
      <c r="Z65" s="40">
        <f>SUM(Z59:Z64)</f>
        <v>0</v>
      </c>
      <c r="AA65" s="7" t="str">
        <f>IF(Z65=0,"OK","Virhe")</f>
        <v>OK</v>
      </c>
    </row>
    <row r="66" spans="3:26" ht="15.75" thickBot="1">
      <c r="C66" s="69"/>
      <c r="D66" s="273"/>
      <c r="E66" s="95" t="s">
        <v>17</v>
      </c>
      <c r="F66" s="10"/>
      <c r="G66" s="10"/>
      <c r="H66" s="11"/>
      <c r="I66" s="314" t="s">
        <v>18</v>
      </c>
      <c r="J66" s="315"/>
      <c r="K66" s="316" t="s">
        <v>19</v>
      </c>
      <c r="L66" s="315"/>
      <c r="M66" s="316" t="s">
        <v>20</v>
      </c>
      <c r="N66" s="315"/>
      <c r="O66" s="316" t="s">
        <v>21</v>
      </c>
      <c r="P66" s="317"/>
      <c r="Q66" s="316" t="s">
        <v>22</v>
      </c>
      <c r="R66" s="315"/>
      <c r="S66" s="348" t="s">
        <v>23</v>
      </c>
      <c r="T66" s="349"/>
      <c r="U66" s="324" t="s">
        <v>14</v>
      </c>
      <c r="V66" s="325"/>
      <c r="W66" s="210" t="s">
        <v>15</v>
      </c>
      <c r="X66" s="26"/>
      <c r="Y66" s="26"/>
      <c r="Z66" s="26"/>
    </row>
    <row r="67" spans="3:37" ht="15">
      <c r="C67" s="76" t="s">
        <v>32</v>
      </c>
      <c r="D67" s="268"/>
      <c r="E67" s="108" t="str">
        <f>IF(E59&gt;"",E59,"")</f>
        <v>Leo Kivelä</v>
      </c>
      <c r="F67" s="105" t="str">
        <f>IF(E63&gt;"",E63,"")</f>
        <v>Mika Rauvola</v>
      </c>
      <c r="G67" s="13"/>
      <c r="H67" s="14"/>
      <c r="I67" s="310">
        <v>6</v>
      </c>
      <c r="J67" s="311"/>
      <c r="K67" s="310">
        <v>-17</v>
      </c>
      <c r="L67" s="311"/>
      <c r="M67" s="312">
        <v>8</v>
      </c>
      <c r="N67" s="311"/>
      <c r="O67" s="310">
        <v>-5</v>
      </c>
      <c r="P67" s="311"/>
      <c r="Q67" s="310">
        <v>4</v>
      </c>
      <c r="R67" s="313"/>
      <c r="S67" s="258">
        <f aca="true" t="shared" si="35" ref="S67:S81">IF(COUNT(I67:Q67)=0,"",COUNTIF(I67:Q67,"&gt;=0"))</f>
        <v>3</v>
      </c>
      <c r="T67" s="261">
        <f>IF(COUNT(I67:Q67)=0,"",(IF(LEFT(I67,1)="-",1,0)+IF(LEFT(K67,1)="-",1,0)+IF(LEFT(M67,1)="-",1,0)+IF(LEFT(O67,1)="-",1,0)+IF(LEFT(Q67,1)="-",1,0)))</f>
        <v>2</v>
      </c>
      <c r="U67" s="224">
        <f>+AB67+AD67+AF67+AH67+AJ67</f>
        <v>55</v>
      </c>
      <c r="V67" s="225">
        <f>+AC67+AE67+AG67+AI67+AK67</f>
        <v>48</v>
      </c>
      <c r="W67" s="226">
        <f aca="true" t="shared" si="36" ref="W67:W81">+U67-V67</f>
        <v>7</v>
      </c>
      <c r="AB67" s="18">
        <f>IF(I67="",0,IF(LEFT(I67,1)="-",ABS(I67),(IF(I67&gt;9,I67+2,11))))</f>
        <v>11</v>
      </c>
      <c r="AC67" s="19">
        <f aca="true" t="shared" si="37" ref="AC67:AC81">IF(I67="",0,IF(LEFT(I67,1)="-",(IF(ABS(I67)&gt;9,(ABS(I67)+2),11)),I67))</f>
        <v>6</v>
      </c>
      <c r="AD67" s="18">
        <f>IF(K67="",0,IF(LEFT(K67,1)="-",ABS(K67),(IF(K67&gt;9,K67+2,11))))</f>
        <v>17</v>
      </c>
      <c r="AE67" s="19">
        <f aca="true" t="shared" si="38" ref="AE67:AE81">IF(K67="",0,IF(LEFT(K67,1)="-",(IF(ABS(K67)&gt;9,(ABS(K67)+2),11)),K67))</f>
        <v>19</v>
      </c>
      <c r="AF67" s="18">
        <f>IF(M67="",0,IF(LEFT(M67,1)="-",ABS(M67),(IF(M67&gt;9,M67+2,11))))</f>
        <v>11</v>
      </c>
      <c r="AG67" s="19">
        <f aca="true" t="shared" si="39" ref="AG67:AG81">IF(M67="",0,IF(LEFT(M67,1)="-",(IF(ABS(M67)&gt;9,(ABS(M67)+2),11)),M67))</f>
        <v>8</v>
      </c>
      <c r="AH67" s="18">
        <f>IF(O67="",0,IF(LEFT(O67,1)="-",ABS(O67),(IF(O67&gt;9,O67+2,11))))</f>
        <v>5</v>
      </c>
      <c r="AI67" s="19">
        <f aca="true" t="shared" si="40" ref="AI67:AI81">IF(O67="",0,IF(LEFT(O67,1)="-",(IF(ABS(O67)&gt;9,(ABS(O67)+2),11)),O67))</f>
        <v>11</v>
      </c>
      <c r="AJ67" s="18">
        <f aca="true" t="shared" si="41" ref="AJ67:AJ81">IF(Q67="",0,IF(LEFT(Q67,1)="-",ABS(Q67),(IF(Q67&gt;9,Q67+2,11))))</f>
        <v>11</v>
      </c>
      <c r="AK67" s="19">
        <f aca="true" t="shared" si="42" ref="AK67:AK81">IF(Q67="",0,IF(LEFT(Q67,1)="-",(IF(ABS(Q67)&gt;9,(ABS(Q67)+2),11)),Q67))</f>
        <v>4</v>
      </c>
    </row>
    <row r="68" spans="3:37" ht="15">
      <c r="C68" s="76" t="s">
        <v>25</v>
      </c>
      <c r="D68" s="268"/>
      <c r="E68" s="109" t="str">
        <f>IF(E60&gt;"",E60,"")</f>
        <v>Riku Autio</v>
      </c>
      <c r="F68" s="105" t="str">
        <f>IF(E62&gt;"",E62,"")</f>
        <v>Thomas Lundström</v>
      </c>
      <c r="G68" s="20"/>
      <c r="H68" s="14"/>
      <c r="I68" s="304">
        <v>-9</v>
      </c>
      <c r="J68" s="309"/>
      <c r="K68" s="304">
        <v>-10</v>
      </c>
      <c r="L68" s="309"/>
      <c r="M68" s="304">
        <v>6</v>
      </c>
      <c r="N68" s="309"/>
      <c r="O68" s="304">
        <v>-13</v>
      </c>
      <c r="P68" s="309"/>
      <c r="Q68" s="304"/>
      <c r="R68" s="305"/>
      <c r="S68" s="259">
        <f t="shared" si="35"/>
        <v>1</v>
      </c>
      <c r="T68" s="262">
        <f aca="true" t="shared" si="43" ref="T68:T81">IF(COUNT(I68:Q68)=0,"",(IF(LEFT(I68,1)="-",1,0)+IF(LEFT(K68,1)="-",1,0)+IF(LEFT(M68,1)="-",1,0)+IF(LEFT(O68,1)="-",1,0)+IF(LEFT(Q68,1)="-",1,0)))</f>
        <v>3</v>
      </c>
      <c r="U68" s="227">
        <f aca="true" t="shared" si="44" ref="U68:V81">+AB68+AD68+AF68+AH68+AJ68</f>
        <v>43</v>
      </c>
      <c r="V68" s="41">
        <f t="shared" si="44"/>
        <v>44</v>
      </c>
      <c r="W68" s="186">
        <f t="shared" si="36"/>
        <v>-1</v>
      </c>
      <c r="AB68" s="22">
        <f>IF(I68="",0,IF(LEFT(I68,1)="-",ABS(I68),(IF(I68&gt;9,I68+2,11))))</f>
        <v>9</v>
      </c>
      <c r="AC68" s="23">
        <f t="shared" si="37"/>
        <v>11</v>
      </c>
      <c r="AD68" s="22">
        <f>IF(K68="",0,IF(LEFT(K68,1)="-",ABS(K68),(IF(K68&gt;9,K68+2,11))))</f>
        <v>10</v>
      </c>
      <c r="AE68" s="23">
        <f t="shared" si="38"/>
        <v>12</v>
      </c>
      <c r="AF68" s="22">
        <f>IF(M68="",0,IF(LEFT(M68,1)="-",ABS(M68),(IF(M68&gt;9,M68+2,11))))</f>
        <v>11</v>
      </c>
      <c r="AG68" s="23">
        <f t="shared" si="39"/>
        <v>6</v>
      </c>
      <c r="AH68" s="22">
        <f>IF(O68="",0,IF(LEFT(O68,1)="-",ABS(O68),(IF(O68&gt;9,O68+2,11))))</f>
        <v>13</v>
      </c>
      <c r="AI68" s="23">
        <f t="shared" si="40"/>
        <v>15</v>
      </c>
      <c r="AJ68" s="22">
        <f t="shared" si="41"/>
        <v>0</v>
      </c>
      <c r="AK68" s="23">
        <f t="shared" si="42"/>
        <v>0</v>
      </c>
    </row>
    <row r="69" spans="3:37" ht="15.75" thickBot="1">
      <c r="C69" s="83" t="s">
        <v>33</v>
      </c>
      <c r="D69" s="269"/>
      <c r="E69" s="111" t="str">
        <f>IF(E61&gt;"",E61,"")</f>
        <v>Marko Holopainen</v>
      </c>
      <c r="F69" s="107" t="str">
        <f>IF(E64&gt;"",E64,"")</f>
        <v>Ilkka Härmälä</v>
      </c>
      <c r="G69" s="10"/>
      <c r="H69" s="42"/>
      <c r="I69" s="306">
        <v>6</v>
      </c>
      <c r="J69" s="307"/>
      <c r="K69" s="306">
        <v>-7</v>
      </c>
      <c r="L69" s="307"/>
      <c r="M69" s="306">
        <v>-8</v>
      </c>
      <c r="N69" s="307"/>
      <c r="O69" s="306">
        <v>-8</v>
      </c>
      <c r="P69" s="307"/>
      <c r="Q69" s="306"/>
      <c r="R69" s="308"/>
      <c r="S69" s="260">
        <f t="shared" si="35"/>
        <v>1</v>
      </c>
      <c r="T69" s="263">
        <f t="shared" si="43"/>
        <v>3</v>
      </c>
      <c r="U69" s="228">
        <f t="shared" si="44"/>
        <v>34</v>
      </c>
      <c r="V69" s="188">
        <f t="shared" si="44"/>
        <v>39</v>
      </c>
      <c r="W69" s="189">
        <f t="shared" si="36"/>
        <v>-5</v>
      </c>
      <c r="AB69" s="22">
        <f aca="true" t="shared" si="45" ref="AB69:AB81">IF(I69="",0,IF(LEFT(I69,1)="-",ABS(I69),(IF(I69&gt;9,I69+2,11))))</f>
        <v>11</v>
      </c>
      <c r="AC69" s="23">
        <f t="shared" si="37"/>
        <v>6</v>
      </c>
      <c r="AD69" s="22">
        <f aca="true" t="shared" si="46" ref="AD69:AD81">IF(K69="",0,IF(LEFT(K69,1)="-",ABS(K69),(IF(K69&gt;9,K69+2,11))))</f>
        <v>7</v>
      </c>
      <c r="AE69" s="23">
        <f t="shared" si="38"/>
        <v>11</v>
      </c>
      <c r="AF69" s="22">
        <f aca="true" t="shared" si="47" ref="AF69:AF81">IF(M69="",0,IF(LEFT(M69,1)="-",ABS(M69),(IF(M69&gt;9,M69+2,11))))</f>
        <v>8</v>
      </c>
      <c r="AG69" s="23">
        <f t="shared" si="39"/>
        <v>11</v>
      </c>
      <c r="AH69" s="22">
        <f aca="true" t="shared" si="48" ref="AH69:AH81">IF(O69="",0,IF(LEFT(O69,1)="-",ABS(O69),(IF(O69&gt;9,O69+2,11))))</f>
        <v>8</v>
      </c>
      <c r="AI69" s="23">
        <f t="shared" si="40"/>
        <v>11</v>
      </c>
      <c r="AJ69" s="22">
        <f t="shared" si="41"/>
        <v>0</v>
      </c>
      <c r="AK69" s="23">
        <f t="shared" si="42"/>
        <v>0</v>
      </c>
    </row>
    <row r="70" spans="3:37" ht="15">
      <c r="C70" s="76" t="s">
        <v>26</v>
      </c>
      <c r="D70" s="268"/>
      <c r="E70" s="109" t="str">
        <f>IF(E59&gt;"",E59,"")</f>
        <v>Leo Kivelä</v>
      </c>
      <c r="F70" s="105" t="str">
        <f>IF(E62&gt;"",E62,"")</f>
        <v>Thomas Lundström</v>
      </c>
      <c r="G70" s="13"/>
      <c r="H70" s="14"/>
      <c r="I70" s="299">
        <v>3</v>
      </c>
      <c r="J70" s="300"/>
      <c r="K70" s="299">
        <v>8</v>
      </c>
      <c r="L70" s="300"/>
      <c r="M70" s="299">
        <v>-9</v>
      </c>
      <c r="N70" s="300"/>
      <c r="O70" s="299">
        <v>8</v>
      </c>
      <c r="P70" s="300"/>
      <c r="Q70" s="299"/>
      <c r="R70" s="301"/>
      <c r="S70" s="258">
        <f t="shared" si="35"/>
        <v>3</v>
      </c>
      <c r="T70" s="261">
        <f>IF(COUNT(I70:Q70)=0,"",(IF(LEFT(I70,1)="-",1,0)+IF(LEFT(K70,1)="-",1,0)+IF(LEFT(M70,1)="-",1,0)+IF(LEFT(O70,1)="-",1,0)+IF(LEFT(Q70,1)="-",1,0)))</f>
        <v>1</v>
      </c>
      <c r="U70" s="211">
        <f t="shared" si="44"/>
        <v>42</v>
      </c>
      <c r="V70" s="212">
        <f t="shared" si="44"/>
        <v>30</v>
      </c>
      <c r="W70" s="213">
        <f t="shared" si="36"/>
        <v>12</v>
      </c>
      <c r="AB70" s="22">
        <f t="shared" si="45"/>
        <v>11</v>
      </c>
      <c r="AC70" s="23">
        <f t="shared" si="37"/>
        <v>3</v>
      </c>
      <c r="AD70" s="22">
        <f t="shared" si="46"/>
        <v>11</v>
      </c>
      <c r="AE70" s="23">
        <f t="shared" si="38"/>
        <v>8</v>
      </c>
      <c r="AF70" s="22">
        <f t="shared" si="47"/>
        <v>9</v>
      </c>
      <c r="AG70" s="23">
        <f t="shared" si="39"/>
        <v>11</v>
      </c>
      <c r="AH70" s="22">
        <f t="shared" si="48"/>
        <v>11</v>
      </c>
      <c r="AI70" s="23">
        <f t="shared" si="40"/>
        <v>8</v>
      </c>
      <c r="AJ70" s="22">
        <f t="shared" si="41"/>
        <v>0</v>
      </c>
      <c r="AK70" s="23">
        <f t="shared" si="42"/>
        <v>0</v>
      </c>
    </row>
    <row r="71" spans="3:37" ht="15">
      <c r="C71" s="76" t="s">
        <v>34</v>
      </c>
      <c r="D71" s="268"/>
      <c r="E71" s="109" t="str">
        <f>IF(E60&gt;"",E60,"")</f>
        <v>Riku Autio</v>
      </c>
      <c r="F71" s="105" t="str">
        <f>IF(E64&gt;"",E64,"")</f>
        <v>Ilkka Härmälä</v>
      </c>
      <c r="G71" s="20"/>
      <c r="H71" s="14"/>
      <c r="I71" s="302">
        <v>4</v>
      </c>
      <c r="J71" s="303"/>
      <c r="K71" s="302">
        <v>-11</v>
      </c>
      <c r="L71" s="303"/>
      <c r="M71" s="302">
        <v>7</v>
      </c>
      <c r="N71" s="303"/>
      <c r="O71" s="292">
        <v>3</v>
      </c>
      <c r="P71" s="298"/>
      <c r="Q71" s="292"/>
      <c r="R71" s="293"/>
      <c r="S71" s="259">
        <f t="shared" si="35"/>
        <v>3</v>
      </c>
      <c r="T71" s="262">
        <f t="shared" si="43"/>
        <v>1</v>
      </c>
      <c r="U71" s="47">
        <f t="shared" si="44"/>
        <v>44</v>
      </c>
      <c r="V71" s="41">
        <f t="shared" si="44"/>
        <v>27</v>
      </c>
      <c r="W71" s="186">
        <f t="shared" si="36"/>
        <v>17</v>
      </c>
      <c r="AB71" s="22">
        <f t="shared" si="45"/>
        <v>11</v>
      </c>
      <c r="AC71" s="23">
        <f t="shared" si="37"/>
        <v>4</v>
      </c>
      <c r="AD71" s="22">
        <f t="shared" si="46"/>
        <v>11</v>
      </c>
      <c r="AE71" s="23">
        <f t="shared" si="38"/>
        <v>13</v>
      </c>
      <c r="AF71" s="22">
        <f t="shared" si="47"/>
        <v>11</v>
      </c>
      <c r="AG71" s="23">
        <f t="shared" si="39"/>
        <v>7</v>
      </c>
      <c r="AH71" s="22">
        <f t="shared" si="48"/>
        <v>11</v>
      </c>
      <c r="AI71" s="23">
        <f t="shared" si="40"/>
        <v>3</v>
      </c>
      <c r="AJ71" s="22">
        <f t="shared" si="41"/>
        <v>0</v>
      </c>
      <c r="AK71" s="23">
        <f t="shared" si="42"/>
        <v>0</v>
      </c>
    </row>
    <row r="72" spans="3:37" ht="15.75" thickBot="1">
      <c r="C72" s="83" t="s">
        <v>35</v>
      </c>
      <c r="D72" s="269"/>
      <c r="E72" s="111" t="str">
        <f>IF(E61&gt;"",E61,"")</f>
        <v>Marko Holopainen</v>
      </c>
      <c r="F72" s="107" t="str">
        <f>IF(E63&gt;"",E63,"")</f>
        <v>Mika Rauvola</v>
      </c>
      <c r="G72" s="10"/>
      <c r="H72" s="42"/>
      <c r="I72" s="294">
        <v>4</v>
      </c>
      <c r="J72" s="295"/>
      <c r="K72" s="294">
        <v>-7</v>
      </c>
      <c r="L72" s="295"/>
      <c r="M72" s="294">
        <v>-9</v>
      </c>
      <c r="N72" s="295"/>
      <c r="O72" s="294">
        <v>-5</v>
      </c>
      <c r="P72" s="295"/>
      <c r="Q72" s="294"/>
      <c r="R72" s="296"/>
      <c r="S72" s="260">
        <f t="shared" si="35"/>
        <v>1</v>
      </c>
      <c r="T72" s="263">
        <f t="shared" si="43"/>
        <v>3</v>
      </c>
      <c r="U72" s="221">
        <f t="shared" si="44"/>
        <v>32</v>
      </c>
      <c r="V72" s="222">
        <f t="shared" si="44"/>
        <v>37</v>
      </c>
      <c r="W72" s="223">
        <f t="shared" si="36"/>
        <v>-5</v>
      </c>
      <c r="AB72" s="24">
        <f t="shared" si="45"/>
        <v>11</v>
      </c>
      <c r="AC72" s="25">
        <f t="shared" si="37"/>
        <v>4</v>
      </c>
      <c r="AD72" s="24">
        <f t="shared" si="46"/>
        <v>7</v>
      </c>
      <c r="AE72" s="25">
        <f t="shared" si="38"/>
        <v>11</v>
      </c>
      <c r="AF72" s="24">
        <f t="shared" si="47"/>
        <v>9</v>
      </c>
      <c r="AG72" s="25">
        <f t="shared" si="39"/>
        <v>11</v>
      </c>
      <c r="AH72" s="24">
        <f t="shared" si="48"/>
        <v>5</v>
      </c>
      <c r="AI72" s="25">
        <f t="shared" si="40"/>
        <v>11</v>
      </c>
      <c r="AJ72" s="24">
        <f t="shared" si="41"/>
        <v>0</v>
      </c>
      <c r="AK72" s="25">
        <f t="shared" si="42"/>
        <v>0</v>
      </c>
    </row>
    <row r="73" spans="3:37" ht="15">
      <c r="C73" s="76" t="s">
        <v>24</v>
      </c>
      <c r="D73" s="268"/>
      <c r="E73" s="109" t="str">
        <f>IF(E59&gt;"",E59,"")</f>
        <v>Leo Kivelä</v>
      </c>
      <c r="F73" s="105" t="str">
        <f>IF(E61&gt;"",E61,"")</f>
        <v>Marko Holopainen</v>
      </c>
      <c r="G73" s="13"/>
      <c r="H73" s="14"/>
      <c r="I73" s="299">
        <v>10</v>
      </c>
      <c r="J73" s="300"/>
      <c r="K73" s="299">
        <v>9</v>
      </c>
      <c r="L73" s="300"/>
      <c r="M73" s="299">
        <v>-6</v>
      </c>
      <c r="N73" s="300"/>
      <c r="O73" s="299">
        <v>8</v>
      </c>
      <c r="P73" s="300"/>
      <c r="Q73" s="299"/>
      <c r="R73" s="301"/>
      <c r="S73" s="258">
        <f t="shared" si="35"/>
        <v>3</v>
      </c>
      <c r="T73" s="261">
        <f>IF(COUNT(I73:Q73)=0,"",(IF(LEFT(I73,1)="-",1,0)+IF(LEFT(K73,1)="-",1,0)+IF(LEFT(M73,1)="-",1,0)+IF(LEFT(O73,1)="-",1,0)+IF(LEFT(Q73,1)="-",1,0)))</f>
        <v>1</v>
      </c>
      <c r="U73" s="224">
        <f t="shared" si="44"/>
        <v>40</v>
      </c>
      <c r="V73" s="225">
        <f t="shared" si="44"/>
        <v>38</v>
      </c>
      <c r="W73" s="226">
        <f t="shared" si="36"/>
        <v>2</v>
      </c>
      <c r="AB73" s="18">
        <f t="shared" si="45"/>
        <v>12</v>
      </c>
      <c r="AC73" s="19">
        <f t="shared" si="37"/>
        <v>10</v>
      </c>
      <c r="AD73" s="18">
        <f t="shared" si="46"/>
        <v>11</v>
      </c>
      <c r="AE73" s="19">
        <f t="shared" si="38"/>
        <v>9</v>
      </c>
      <c r="AF73" s="18">
        <f t="shared" si="47"/>
        <v>6</v>
      </c>
      <c r="AG73" s="19">
        <f t="shared" si="39"/>
        <v>11</v>
      </c>
      <c r="AH73" s="18">
        <f t="shared" si="48"/>
        <v>11</v>
      </c>
      <c r="AI73" s="19">
        <f t="shared" si="40"/>
        <v>8</v>
      </c>
      <c r="AJ73" s="18">
        <f t="shared" si="41"/>
        <v>0</v>
      </c>
      <c r="AK73" s="19">
        <f t="shared" si="42"/>
        <v>0</v>
      </c>
    </row>
    <row r="74" spans="3:37" ht="15">
      <c r="C74" s="76" t="s">
        <v>36</v>
      </c>
      <c r="D74" s="268"/>
      <c r="E74" s="109" t="str">
        <f>IF(E60&gt;"",E60,"")</f>
        <v>Riku Autio</v>
      </c>
      <c r="F74" s="105" t="str">
        <f>IF(E63&gt;"",E63,"")</f>
        <v>Mika Rauvola</v>
      </c>
      <c r="G74" s="20"/>
      <c r="H74" s="14"/>
      <c r="I74" s="302">
        <v>8</v>
      </c>
      <c r="J74" s="303"/>
      <c r="K74" s="302">
        <v>-9</v>
      </c>
      <c r="L74" s="303"/>
      <c r="M74" s="302">
        <v>9</v>
      </c>
      <c r="N74" s="303"/>
      <c r="O74" s="292">
        <v>-2</v>
      </c>
      <c r="P74" s="298"/>
      <c r="Q74" s="292">
        <v>-10</v>
      </c>
      <c r="R74" s="293"/>
      <c r="S74" s="259">
        <f t="shared" si="35"/>
        <v>2</v>
      </c>
      <c r="T74" s="262">
        <f t="shared" si="43"/>
        <v>3</v>
      </c>
      <c r="U74" s="227">
        <f t="shared" si="44"/>
        <v>43</v>
      </c>
      <c r="V74" s="41">
        <f t="shared" si="44"/>
        <v>51</v>
      </c>
      <c r="W74" s="186">
        <f t="shared" si="36"/>
        <v>-8</v>
      </c>
      <c r="AB74" s="22">
        <f t="shared" si="45"/>
        <v>11</v>
      </c>
      <c r="AC74" s="23">
        <f t="shared" si="37"/>
        <v>8</v>
      </c>
      <c r="AD74" s="22">
        <f t="shared" si="46"/>
        <v>9</v>
      </c>
      <c r="AE74" s="23">
        <f t="shared" si="38"/>
        <v>11</v>
      </c>
      <c r="AF74" s="22">
        <f t="shared" si="47"/>
        <v>11</v>
      </c>
      <c r="AG74" s="23">
        <f t="shared" si="39"/>
        <v>9</v>
      </c>
      <c r="AH74" s="22">
        <f t="shared" si="48"/>
        <v>2</v>
      </c>
      <c r="AI74" s="23">
        <f t="shared" si="40"/>
        <v>11</v>
      </c>
      <c r="AJ74" s="22">
        <f t="shared" si="41"/>
        <v>10</v>
      </c>
      <c r="AK74" s="23">
        <f t="shared" si="42"/>
        <v>12</v>
      </c>
    </row>
    <row r="75" spans="3:37" ht="15.75" thickBot="1">
      <c r="C75" s="83" t="s">
        <v>37</v>
      </c>
      <c r="D75" s="269"/>
      <c r="E75" s="111" t="str">
        <f>IF(E62&gt;"",E62,"")</f>
        <v>Thomas Lundström</v>
      </c>
      <c r="F75" s="107" t="str">
        <f>IF(E64&gt;"",E64,"")</f>
        <v>Ilkka Härmälä</v>
      </c>
      <c r="G75" s="10"/>
      <c r="H75" s="42"/>
      <c r="I75" s="294">
        <v>3</v>
      </c>
      <c r="J75" s="295"/>
      <c r="K75" s="294">
        <v>10</v>
      </c>
      <c r="L75" s="295"/>
      <c r="M75" s="294">
        <v>-5</v>
      </c>
      <c r="N75" s="295"/>
      <c r="O75" s="294">
        <v>11</v>
      </c>
      <c r="P75" s="295"/>
      <c r="Q75" s="294"/>
      <c r="R75" s="296"/>
      <c r="S75" s="260">
        <f t="shared" si="35"/>
        <v>3</v>
      </c>
      <c r="T75" s="263">
        <f t="shared" si="43"/>
        <v>1</v>
      </c>
      <c r="U75" s="228">
        <f t="shared" si="44"/>
        <v>41</v>
      </c>
      <c r="V75" s="188">
        <f t="shared" si="44"/>
        <v>35</v>
      </c>
      <c r="W75" s="189">
        <f t="shared" si="36"/>
        <v>6</v>
      </c>
      <c r="AA75" s="26"/>
      <c r="AB75" s="22">
        <f t="shared" si="45"/>
        <v>11</v>
      </c>
      <c r="AC75" s="23">
        <f t="shared" si="37"/>
        <v>3</v>
      </c>
      <c r="AD75" s="22">
        <f t="shared" si="46"/>
        <v>12</v>
      </c>
      <c r="AE75" s="23">
        <f t="shared" si="38"/>
        <v>10</v>
      </c>
      <c r="AF75" s="22">
        <f t="shared" si="47"/>
        <v>5</v>
      </c>
      <c r="AG75" s="23">
        <f t="shared" si="39"/>
        <v>11</v>
      </c>
      <c r="AH75" s="22">
        <f t="shared" si="48"/>
        <v>13</v>
      </c>
      <c r="AI75" s="23">
        <f t="shared" si="40"/>
        <v>11</v>
      </c>
      <c r="AJ75" s="22">
        <f t="shared" si="41"/>
        <v>0</v>
      </c>
      <c r="AK75" s="23">
        <f t="shared" si="42"/>
        <v>0</v>
      </c>
    </row>
    <row r="76" spans="3:37" ht="15">
      <c r="C76" s="76" t="s">
        <v>38</v>
      </c>
      <c r="D76" s="268"/>
      <c r="E76" s="109" t="str">
        <f>IF(E59&gt;"",E59,"")</f>
        <v>Leo Kivelä</v>
      </c>
      <c r="F76" s="105" t="str">
        <f>IF(E64&gt;"",E64,"")</f>
        <v>Ilkka Härmälä</v>
      </c>
      <c r="G76" s="13"/>
      <c r="H76" s="14"/>
      <c r="I76" s="299">
        <v>12</v>
      </c>
      <c r="J76" s="300"/>
      <c r="K76" s="299">
        <v>-1</v>
      </c>
      <c r="L76" s="300"/>
      <c r="M76" s="299">
        <v>-7</v>
      </c>
      <c r="N76" s="300"/>
      <c r="O76" s="299">
        <v>-10</v>
      </c>
      <c r="P76" s="300"/>
      <c r="Q76" s="299"/>
      <c r="R76" s="301"/>
      <c r="S76" s="258">
        <f t="shared" si="35"/>
        <v>1</v>
      </c>
      <c r="T76" s="261">
        <f>IF(COUNT(I76:Q76)=0,"",(IF(LEFT(I76,1)="-",1,0)+IF(LEFT(K76,1)="-",1,0)+IF(LEFT(M76,1)="-",1,0)+IF(LEFT(O76,1)="-",1,0)+IF(LEFT(Q76,1)="-",1,0)))</f>
        <v>3</v>
      </c>
      <c r="U76" s="211">
        <f t="shared" si="44"/>
        <v>32</v>
      </c>
      <c r="V76" s="212">
        <f t="shared" si="44"/>
        <v>46</v>
      </c>
      <c r="W76" s="213">
        <f t="shared" si="36"/>
        <v>-14</v>
      </c>
      <c r="AA76" s="26"/>
      <c r="AB76" s="22">
        <f t="shared" si="45"/>
        <v>14</v>
      </c>
      <c r="AC76" s="23">
        <f t="shared" si="37"/>
        <v>12</v>
      </c>
      <c r="AD76" s="22">
        <f t="shared" si="46"/>
        <v>1</v>
      </c>
      <c r="AE76" s="23">
        <f t="shared" si="38"/>
        <v>11</v>
      </c>
      <c r="AF76" s="22">
        <f t="shared" si="47"/>
        <v>7</v>
      </c>
      <c r="AG76" s="23">
        <f t="shared" si="39"/>
        <v>11</v>
      </c>
      <c r="AH76" s="22">
        <f t="shared" si="48"/>
        <v>10</v>
      </c>
      <c r="AI76" s="23">
        <f t="shared" si="40"/>
        <v>12</v>
      </c>
      <c r="AJ76" s="22">
        <f t="shared" si="41"/>
        <v>0</v>
      </c>
      <c r="AK76" s="23">
        <f t="shared" si="42"/>
        <v>0</v>
      </c>
    </row>
    <row r="77" spans="3:37" ht="15">
      <c r="C77" s="76" t="s">
        <v>27</v>
      </c>
      <c r="D77" s="268"/>
      <c r="E77" s="109" t="str">
        <f>IF(E60&gt;"",E60,"")</f>
        <v>Riku Autio</v>
      </c>
      <c r="F77" s="105" t="str">
        <f>IF(E61&gt;"",E61,"")</f>
        <v>Marko Holopainen</v>
      </c>
      <c r="G77" s="20"/>
      <c r="H77" s="14"/>
      <c r="I77" s="297">
        <v>3</v>
      </c>
      <c r="J77" s="298"/>
      <c r="K77" s="297">
        <v>-5</v>
      </c>
      <c r="L77" s="298"/>
      <c r="M77" s="292">
        <v>-8</v>
      </c>
      <c r="N77" s="298"/>
      <c r="O77" s="292">
        <v>-11</v>
      </c>
      <c r="P77" s="298"/>
      <c r="Q77" s="292"/>
      <c r="R77" s="293"/>
      <c r="S77" s="259">
        <f t="shared" si="35"/>
        <v>1</v>
      </c>
      <c r="T77" s="262">
        <f t="shared" si="43"/>
        <v>3</v>
      </c>
      <c r="U77" s="47">
        <f t="shared" si="44"/>
        <v>35</v>
      </c>
      <c r="V77" s="41">
        <f t="shared" si="44"/>
        <v>38</v>
      </c>
      <c r="W77" s="186">
        <f t="shared" si="36"/>
        <v>-3</v>
      </c>
      <c r="AA77" s="26"/>
      <c r="AB77" s="22">
        <f t="shared" si="45"/>
        <v>11</v>
      </c>
      <c r="AC77" s="23">
        <f t="shared" si="37"/>
        <v>3</v>
      </c>
      <c r="AD77" s="22">
        <f t="shared" si="46"/>
        <v>5</v>
      </c>
      <c r="AE77" s="23">
        <f t="shared" si="38"/>
        <v>11</v>
      </c>
      <c r="AF77" s="22">
        <f t="shared" si="47"/>
        <v>8</v>
      </c>
      <c r="AG77" s="23">
        <f t="shared" si="39"/>
        <v>11</v>
      </c>
      <c r="AH77" s="22">
        <f t="shared" si="48"/>
        <v>11</v>
      </c>
      <c r="AI77" s="23">
        <f t="shared" si="40"/>
        <v>13</v>
      </c>
      <c r="AJ77" s="22">
        <f t="shared" si="41"/>
        <v>0</v>
      </c>
      <c r="AK77" s="23">
        <f t="shared" si="42"/>
        <v>0</v>
      </c>
    </row>
    <row r="78" spans="3:37" ht="15.75" thickBot="1">
      <c r="C78" s="83" t="s">
        <v>39</v>
      </c>
      <c r="D78" s="269"/>
      <c r="E78" s="111" t="str">
        <f>IF(E62&gt;"",E62,"")</f>
        <v>Thomas Lundström</v>
      </c>
      <c r="F78" s="107" t="str">
        <f>IF(E63&gt;"",E63,"")</f>
        <v>Mika Rauvola</v>
      </c>
      <c r="G78" s="10"/>
      <c r="H78" s="42"/>
      <c r="I78" s="294">
        <v>-6</v>
      </c>
      <c r="J78" s="295"/>
      <c r="K78" s="294">
        <v>-4</v>
      </c>
      <c r="L78" s="295"/>
      <c r="M78" s="294">
        <v>5</v>
      </c>
      <c r="N78" s="295"/>
      <c r="O78" s="294">
        <v>-9</v>
      </c>
      <c r="P78" s="295"/>
      <c r="Q78" s="294"/>
      <c r="R78" s="296"/>
      <c r="S78" s="260">
        <f t="shared" si="35"/>
        <v>1</v>
      </c>
      <c r="T78" s="263">
        <f t="shared" si="43"/>
        <v>3</v>
      </c>
      <c r="U78" s="221">
        <f t="shared" si="44"/>
        <v>30</v>
      </c>
      <c r="V78" s="222">
        <f t="shared" si="44"/>
        <v>38</v>
      </c>
      <c r="W78" s="223">
        <f t="shared" si="36"/>
        <v>-8</v>
      </c>
      <c r="AA78" s="26"/>
      <c r="AB78" s="24">
        <f t="shared" si="45"/>
        <v>6</v>
      </c>
      <c r="AC78" s="25">
        <f t="shared" si="37"/>
        <v>11</v>
      </c>
      <c r="AD78" s="24">
        <f t="shared" si="46"/>
        <v>4</v>
      </c>
      <c r="AE78" s="25">
        <f t="shared" si="38"/>
        <v>11</v>
      </c>
      <c r="AF78" s="24">
        <f t="shared" si="47"/>
        <v>11</v>
      </c>
      <c r="AG78" s="25">
        <f t="shared" si="39"/>
        <v>5</v>
      </c>
      <c r="AH78" s="24">
        <f t="shared" si="48"/>
        <v>9</v>
      </c>
      <c r="AI78" s="25">
        <f t="shared" si="40"/>
        <v>11</v>
      </c>
      <c r="AJ78" s="24">
        <f t="shared" si="41"/>
        <v>0</v>
      </c>
      <c r="AK78" s="25">
        <f t="shared" si="42"/>
        <v>0</v>
      </c>
    </row>
    <row r="79" spans="3:37" ht="15">
      <c r="C79" s="76" t="s">
        <v>28</v>
      </c>
      <c r="D79" s="268"/>
      <c r="E79" s="109" t="str">
        <f>IF(E59&gt;"",E59,"")</f>
        <v>Leo Kivelä</v>
      </c>
      <c r="F79" s="105" t="str">
        <f>IF(E60&gt;"",E60,"")</f>
        <v>Riku Autio</v>
      </c>
      <c r="G79" s="13"/>
      <c r="H79" s="14"/>
      <c r="I79" s="299">
        <v>-9</v>
      </c>
      <c r="J79" s="300"/>
      <c r="K79" s="299">
        <v>4</v>
      </c>
      <c r="L79" s="300"/>
      <c r="M79" s="299">
        <v>8</v>
      </c>
      <c r="N79" s="300"/>
      <c r="O79" s="299">
        <v>2</v>
      </c>
      <c r="P79" s="300"/>
      <c r="Q79" s="299"/>
      <c r="R79" s="301"/>
      <c r="S79" s="258">
        <f t="shared" si="35"/>
        <v>3</v>
      </c>
      <c r="T79" s="261">
        <f>IF(COUNT(I79:Q79)=0,"",(IF(LEFT(I79,1)="-",1,0)+IF(LEFT(K79,1)="-",1,0)+IF(LEFT(M79,1)="-",1,0)+IF(LEFT(O79,1)="-",1,0)+IF(LEFT(Q79,1)="-",1,0)))</f>
        <v>1</v>
      </c>
      <c r="U79" s="224">
        <f t="shared" si="44"/>
        <v>42</v>
      </c>
      <c r="V79" s="225">
        <f t="shared" si="44"/>
        <v>25</v>
      </c>
      <c r="W79" s="226">
        <f t="shared" si="36"/>
        <v>17</v>
      </c>
      <c r="AA79" s="26"/>
      <c r="AB79" s="18">
        <f t="shared" si="45"/>
        <v>9</v>
      </c>
      <c r="AC79" s="19">
        <f t="shared" si="37"/>
        <v>11</v>
      </c>
      <c r="AD79" s="18">
        <f t="shared" si="46"/>
        <v>11</v>
      </c>
      <c r="AE79" s="19">
        <f t="shared" si="38"/>
        <v>4</v>
      </c>
      <c r="AF79" s="18">
        <f t="shared" si="47"/>
        <v>11</v>
      </c>
      <c r="AG79" s="19">
        <f t="shared" si="39"/>
        <v>8</v>
      </c>
      <c r="AH79" s="18">
        <f t="shared" si="48"/>
        <v>11</v>
      </c>
      <c r="AI79" s="19">
        <f t="shared" si="40"/>
        <v>2</v>
      </c>
      <c r="AJ79" s="18">
        <f t="shared" si="41"/>
        <v>0</v>
      </c>
      <c r="AK79" s="19">
        <f t="shared" si="42"/>
        <v>0</v>
      </c>
    </row>
    <row r="80" spans="3:37" ht="15" customHeight="1">
      <c r="C80" s="76" t="s">
        <v>29</v>
      </c>
      <c r="D80" s="268"/>
      <c r="E80" s="109" t="str">
        <f>IF(E61&gt;"",E61,"")</f>
        <v>Marko Holopainen</v>
      </c>
      <c r="F80" s="105" t="str">
        <f>IF(E62&gt;"",E62,"")</f>
        <v>Thomas Lundström</v>
      </c>
      <c r="G80" s="20"/>
      <c r="H80" s="14"/>
      <c r="I80" s="297">
        <v>-6</v>
      </c>
      <c r="J80" s="298"/>
      <c r="K80" s="297">
        <v>-7</v>
      </c>
      <c r="L80" s="298"/>
      <c r="M80" s="292">
        <v>-9</v>
      </c>
      <c r="N80" s="298"/>
      <c r="O80" s="292"/>
      <c r="P80" s="298"/>
      <c r="Q80" s="292"/>
      <c r="R80" s="293"/>
      <c r="S80" s="259">
        <f t="shared" si="35"/>
        <v>0</v>
      </c>
      <c r="T80" s="262">
        <f t="shared" si="43"/>
        <v>3</v>
      </c>
      <c r="U80" s="227">
        <f t="shared" si="44"/>
        <v>22</v>
      </c>
      <c r="V80" s="41">
        <f t="shared" si="44"/>
        <v>33</v>
      </c>
      <c r="W80" s="186">
        <f t="shared" si="36"/>
        <v>-11</v>
      </c>
      <c r="AA80" s="26"/>
      <c r="AB80" s="22">
        <f t="shared" si="45"/>
        <v>6</v>
      </c>
      <c r="AC80" s="23">
        <f t="shared" si="37"/>
        <v>11</v>
      </c>
      <c r="AD80" s="22">
        <f t="shared" si="46"/>
        <v>7</v>
      </c>
      <c r="AE80" s="23">
        <f t="shared" si="38"/>
        <v>11</v>
      </c>
      <c r="AF80" s="22">
        <f t="shared" si="47"/>
        <v>9</v>
      </c>
      <c r="AG80" s="23">
        <f t="shared" si="39"/>
        <v>11</v>
      </c>
      <c r="AH80" s="22">
        <f t="shared" si="48"/>
        <v>0</v>
      </c>
      <c r="AI80" s="23">
        <f t="shared" si="40"/>
        <v>0</v>
      </c>
      <c r="AJ80" s="22">
        <f t="shared" si="41"/>
        <v>0</v>
      </c>
      <c r="AK80" s="23">
        <f t="shared" si="42"/>
        <v>0</v>
      </c>
    </row>
    <row r="81" spans="3:37" ht="15.75" thickBot="1">
      <c r="C81" s="83" t="s">
        <v>40</v>
      </c>
      <c r="D81" s="269"/>
      <c r="E81" s="116" t="str">
        <f>IF(E63&gt;"",E63,"")</f>
        <v>Mika Rauvola</v>
      </c>
      <c r="F81" s="117" t="str">
        <f>IF(E64&gt;"",E64,"")</f>
        <v>Ilkka Härmälä</v>
      </c>
      <c r="G81" s="10"/>
      <c r="H81" s="42"/>
      <c r="I81" s="294">
        <v>10</v>
      </c>
      <c r="J81" s="295"/>
      <c r="K81" s="294">
        <v>-8</v>
      </c>
      <c r="L81" s="295"/>
      <c r="M81" s="294">
        <v>-7</v>
      </c>
      <c r="N81" s="295"/>
      <c r="O81" s="294">
        <v>-8</v>
      </c>
      <c r="P81" s="295"/>
      <c r="Q81" s="294"/>
      <c r="R81" s="296"/>
      <c r="S81" s="260">
        <f t="shared" si="35"/>
        <v>1</v>
      </c>
      <c r="T81" s="263">
        <f t="shared" si="43"/>
        <v>3</v>
      </c>
      <c r="U81" s="187">
        <f t="shared" si="44"/>
        <v>35</v>
      </c>
      <c r="V81" s="188">
        <f t="shared" si="44"/>
        <v>43</v>
      </c>
      <c r="W81" s="189">
        <f t="shared" si="36"/>
        <v>-8</v>
      </c>
      <c r="AA81" s="26"/>
      <c r="AB81" s="22">
        <f t="shared" si="45"/>
        <v>12</v>
      </c>
      <c r="AC81" s="23">
        <f t="shared" si="37"/>
        <v>10</v>
      </c>
      <c r="AD81" s="22">
        <f t="shared" si="46"/>
        <v>8</v>
      </c>
      <c r="AE81" s="23">
        <f t="shared" si="38"/>
        <v>11</v>
      </c>
      <c r="AF81" s="22">
        <f t="shared" si="47"/>
        <v>7</v>
      </c>
      <c r="AG81" s="23">
        <f t="shared" si="39"/>
        <v>11</v>
      </c>
      <c r="AH81" s="22">
        <f t="shared" si="48"/>
        <v>8</v>
      </c>
      <c r="AI81" s="23">
        <f t="shared" si="40"/>
        <v>11</v>
      </c>
      <c r="AJ81" s="22">
        <f t="shared" si="41"/>
        <v>0</v>
      </c>
      <c r="AK81" s="23">
        <f t="shared" si="42"/>
        <v>0</v>
      </c>
    </row>
    <row r="83" ht="15.75" thickBot="1"/>
    <row r="84" spans="3:23" ht="15.75">
      <c r="C84" s="51"/>
      <c r="D84" s="271"/>
      <c r="E84" s="112" t="str">
        <f>$E$5</f>
        <v>TOP-12 2-karsinta</v>
      </c>
      <c r="F84" s="52"/>
      <c r="G84" s="52"/>
      <c r="H84" s="52"/>
      <c r="I84" s="53"/>
      <c r="J84" s="331"/>
      <c r="K84" s="332"/>
      <c r="L84" s="332"/>
      <c r="M84" s="182"/>
      <c r="N84" s="55"/>
      <c r="O84" s="55"/>
      <c r="P84" s="55"/>
      <c r="Q84" s="183" t="s">
        <v>0</v>
      </c>
      <c r="R84" s="184"/>
      <c r="S84" s="333" t="s">
        <v>47</v>
      </c>
      <c r="T84" s="333"/>
      <c r="U84" s="333"/>
      <c r="V84" s="333"/>
      <c r="W84" s="185"/>
    </row>
    <row r="85" spans="3:26" ht="16.5" thickBot="1">
      <c r="C85" s="126"/>
      <c r="D85" s="272"/>
      <c r="E85" s="167" t="str">
        <f>$E$6</f>
        <v>SPTL</v>
      </c>
      <c r="F85" s="127" t="s">
        <v>1</v>
      </c>
      <c r="G85" s="334"/>
      <c r="H85" s="335"/>
      <c r="I85" s="323"/>
      <c r="J85" s="336" t="s">
        <v>2</v>
      </c>
      <c r="K85" s="337"/>
      <c r="L85" s="337"/>
      <c r="M85" s="338">
        <f>$M$6</f>
        <v>40671</v>
      </c>
      <c r="N85" s="338"/>
      <c r="O85" s="338"/>
      <c r="P85" s="339"/>
      <c r="Q85" s="340" t="s">
        <v>3</v>
      </c>
      <c r="R85" s="341"/>
      <c r="S85" s="342" t="str">
        <f>$S$6</f>
        <v>11.00</v>
      </c>
      <c r="T85" s="343"/>
      <c r="U85" s="343"/>
      <c r="V85" s="344"/>
      <c r="W85" s="190"/>
      <c r="X85" s="26"/>
      <c r="Y85" s="26"/>
      <c r="Z85" s="26"/>
    </row>
    <row r="86" spans="2:26" ht="15">
      <c r="B86" s="50"/>
      <c r="C86" s="62"/>
      <c r="D86" s="277"/>
      <c r="E86" s="206" t="s">
        <v>4</v>
      </c>
      <c r="F86" s="207" t="s">
        <v>5</v>
      </c>
      <c r="G86" s="330" t="s">
        <v>6</v>
      </c>
      <c r="H86" s="319"/>
      <c r="I86" s="330" t="s">
        <v>7</v>
      </c>
      <c r="J86" s="319"/>
      <c r="K86" s="330" t="s">
        <v>8</v>
      </c>
      <c r="L86" s="319"/>
      <c r="M86" s="330" t="s">
        <v>9</v>
      </c>
      <c r="N86" s="319"/>
      <c r="O86" s="318" t="s">
        <v>30</v>
      </c>
      <c r="P86" s="319"/>
      <c r="Q86" s="320" t="s">
        <v>31</v>
      </c>
      <c r="R86" s="321"/>
      <c r="S86" s="63" t="s">
        <v>10</v>
      </c>
      <c r="T86" s="64" t="s">
        <v>11</v>
      </c>
      <c r="U86" s="326" t="s">
        <v>12</v>
      </c>
      <c r="V86" s="327"/>
      <c r="W86" s="191" t="s">
        <v>13</v>
      </c>
      <c r="X86" s="328" t="s">
        <v>14</v>
      </c>
      <c r="Y86" s="329"/>
      <c r="Z86" s="1" t="s">
        <v>15</v>
      </c>
    </row>
    <row r="87" spans="2:26" ht="15">
      <c r="B87" s="50">
        <f aca="true" t="shared" si="49" ref="B87:B92">W87</f>
        <v>12</v>
      </c>
      <c r="C87" s="274">
        <v>1</v>
      </c>
      <c r="D87" s="283" t="s">
        <v>54</v>
      </c>
      <c r="E87" s="282" t="str">
        <f>VLOOKUP(3,$B$8:$F$11,4,FALSE)</f>
        <v>Tuomas Tiittala</v>
      </c>
      <c r="F87" s="195" t="str">
        <f>VLOOKUP(3,$B$8:$F$11,5,FALSE)</f>
        <v>PT Espoo</v>
      </c>
      <c r="G87" s="199"/>
      <c r="H87" s="28"/>
      <c r="I87" s="29">
        <f>+S107</f>
        <v>1</v>
      </c>
      <c r="J87" s="30">
        <f>+T107</f>
        <v>3</v>
      </c>
      <c r="K87" s="202">
        <f>S101</f>
        <v>0</v>
      </c>
      <c r="L87" s="30">
        <f>T101</f>
        <v>3</v>
      </c>
      <c r="M87" s="202">
        <f>S98</f>
        <v>0</v>
      </c>
      <c r="N87" s="30">
        <f>T98</f>
        <v>3</v>
      </c>
      <c r="O87" s="202">
        <f>S95</f>
        <v>3</v>
      </c>
      <c r="P87" s="30">
        <f>T95</f>
        <v>1</v>
      </c>
      <c r="Q87" s="202">
        <f>S104</f>
        <v>0</v>
      </c>
      <c r="R87" s="30">
        <f>T104</f>
        <v>3</v>
      </c>
      <c r="S87" s="31">
        <f>IF(SUM(G87:R87)=0,"",COUNTIF(H87:H92,"3"))</f>
        <v>1</v>
      </c>
      <c r="T87" s="32">
        <f>IF(SUM(H87:S87)=0,"",COUNTIF(G87:G92,"3"))</f>
        <v>4</v>
      </c>
      <c r="U87" s="2">
        <f>IF(SUM(H87:H92)=0,"",SUM(H87:H92))</f>
        <v>4</v>
      </c>
      <c r="V87" s="3">
        <f>IF(SUM(G87:G92)=0,"",SUM(G87:G92))</f>
        <v>13</v>
      </c>
      <c r="W87" s="256">
        <v>12</v>
      </c>
      <c r="X87" s="4">
        <f>+U95+U98+U101+U104+U107</f>
        <v>135</v>
      </c>
      <c r="Y87" s="4">
        <f>+V95+V98+V101+V104+V107</f>
        <v>182</v>
      </c>
      <c r="Z87" s="5">
        <f aca="true" t="shared" si="50" ref="Z87:Z92">+X87-Y87</f>
        <v>-47</v>
      </c>
    </row>
    <row r="88" spans="2:26" ht="15">
      <c r="B88" s="50">
        <f t="shared" si="49"/>
        <v>7</v>
      </c>
      <c r="C88" s="275">
        <v>2</v>
      </c>
      <c r="D88" s="283" t="s">
        <v>55</v>
      </c>
      <c r="E88" s="282" t="str">
        <f>VLOOKUP(3,$B$25:$F$28,4,FALSE)</f>
        <v>Olli-Ville Halonen</v>
      </c>
      <c r="F88" s="195" t="str">
        <f>VLOOKUP(3,$B$25:$F$28,5,FALSE)</f>
        <v>KuPTS</v>
      </c>
      <c r="G88" s="200">
        <f>+T107</f>
        <v>3</v>
      </c>
      <c r="H88" s="34">
        <f>+S107</f>
        <v>1</v>
      </c>
      <c r="I88" s="35"/>
      <c r="J88" s="36"/>
      <c r="K88" s="200">
        <f>S105</f>
        <v>3</v>
      </c>
      <c r="L88" s="34">
        <f>T105</f>
        <v>1</v>
      </c>
      <c r="M88" s="200">
        <f>S96</f>
        <v>3</v>
      </c>
      <c r="N88" s="34">
        <f>T96</f>
        <v>1</v>
      </c>
      <c r="O88" s="202">
        <f>S102</f>
        <v>3</v>
      </c>
      <c r="P88" s="30">
        <f>T102</f>
        <v>2</v>
      </c>
      <c r="Q88" s="202">
        <f>S99</f>
        <v>3</v>
      </c>
      <c r="R88" s="30">
        <f>T99</f>
        <v>0</v>
      </c>
      <c r="S88" s="31">
        <f>IF(SUM(G88:R88)=0,"",COUNTIF(J87:J92,"3"))</f>
        <v>5</v>
      </c>
      <c r="T88" s="32">
        <f>IF(SUM(H88:S88)=0,"",COUNTIF(I87:I92,"3"))</f>
        <v>0</v>
      </c>
      <c r="U88" s="2">
        <f>IF(SUM(J87:J92)=0,"",SUM(J87:J92))</f>
        <v>15</v>
      </c>
      <c r="V88" s="3">
        <f>IF(SUM(I87:I92)=0,"",SUM(I87:I92))</f>
        <v>5</v>
      </c>
      <c r="W88" s="256">
        <v>7</v>
      </c>
      <c r="X88" s="4">
        <f>+U96+U99+U102+U105+V107</f>
        <v>207</v>
      </c>
      <c r="Y88" s="4">
        <f>+V96+V99+V102+V105+U107</f>
        <v>162</v>
      </c>
      <c r="Z88" s="5">
        <f t="shared" si="50"/>
        <v>45</v>
      </c>
    </row>
    <row r="89" spans="2:26" ht="15">
      <c r="B89" s="50">
        <f t="shared" si="49"/>
        <v>8</v>
      </c>
      <c r="C89" s="275">
        <v>3</v>
      </c>
      <c r="D89" s="283" t="s">
        <v>56</v>
      </c>
      <c r="E89" s="282" t="str">
        <f>VLOOKUP(3,$B$42:$F$45,4,FALSE)</f>
        <v>Matti Lappalainen</v>
      </c>
      <c r="F89" s="195" t="str">
        <f>VLOOKUP(3,$B$42:$F$45,5,FALSE)</f>
        <v>HP</v>
      </c>
      <c r="G89" s="200">
        <f>+T101</f>
        <v>3</v>
      </c>
      <c r="H89" s="34">
        <f>+S101</f>
        <v>0</v>
      </c>
      <c r="I89" s="33">
        <f>T105</f>
        <v>1</v>
      </c>
      <c r="J89" s="34">
        <f>S105</f>
        <v>3</v>
      </c>
      <c r="K89" s="203"/>
      <c r="L89" s="36"/>
      <c r="M89" s="200">
        <f>S108</f>
        <v>3</v>
      </c>
      <c r="N89" s="34">
        <f>T108</f>
        <v>1</v>
      </c>
      <c r="O89" s="202">
        <f>S100</f>
        <v>3</v>
      </c>
      <c r="P89" s="30">
        <f>T100</f>
        <v>1</v>
      </c>
      <c r="Q89" s="202">
        <f>S97</f>
        <v>3</v>
      </c>
      <c r="R89" s="30">
        <f>T97</f>
        <v>1</v>
      </c>
      <c r="S89" s="31">
        <f>IF(SUM(G89:R89)=0,"",COUNTIF(L87:L92,"3"))</f>
        <v>4</v>
      </c>
      <c r="T89" s="32">
        <f>IF(SUM(H89:S89)=0,"",COUNTIF(K87:K92,"3"))</f>
        <v>1</v>
      </c>
      <c r="U89" s="2">
        <f>IF(SUM(L87:L92)=0,"",SUM(L87:L92))</f>
        <v>13</v>
      </c>
      <c r="V89" s="3">
        <f>IF(SUM(K87:K92)=0,"",SUM(K87:K92))</f>
        <v>6</v>
      </c>
      <c r="W89" s="256">
        <v>8</v>
      </c>
      <c r="X89" s="4">
        <f>+U97+U100+V101+V105+U108</f>
        <v>189</v>
      </c>
      <c r="Y89" s="4">
        <f>+V97+V100+U101+U105+V108</f>
        <v>157</v>
      </c>
      <c r="Z89" s="5">
        <f t="shared" si="50"/>
        <v>32</v>
      </c>
    </row>
    <row r="90" spans="2:26" ht="15">
      <c r="B90" s="50">
        <f t="shared" si="49"/>
        <v>10</v>
      </c>
      <c r="C90" s="275">
        <v>4</v>
      </c>
      <c r="D90" s="283" t="s">
        <v>57</v>
      </c>
      <c r="E90" s="282" t="str">
        <f>VLOOKUP(4,$B$25:$F$28,4,FALSE)</f>
        <v>Kari Saarinen</v>
      </c>
      <c r="F90" s="195" t="str">
        <f>VLOOKUP(4,$B$25:$F$28,5,FALSE)</f>
        <v>HUT</v>
      </c>
      <c r="G90" s="200">
        <f>T98</f>
        <v>3</v>
      </c>
      <c r="H90" s="34">
        <f>S98</f>
        <v>0</v>
      </c>
      <c r="I90" s="33">
        <f>T96</f>
        <v>1</v>
      </c>
      <c r="J90" s="34">
        <f>S96</f>
        <v>3</v>
      </c>
      <c r="K90" s="200">
        <f>T108</f>
        <v>1</v>
      </c>
      <c r="L90" s="34">
        <f>S108</f>
        <v>3</v>
      </c>
      <c r="M90" s="203"/>
      <c r="N90" s="36"/>
      <c r="O90" s="202">
        <f>S106</f>
        <v>1</v>
      </c>
      <c r="P90" s="30">
        <f>T106</f>
        <v>3</v>
      </c>
      <c r="Q90" s="202">
        <f>S103</f>
        <v>0</v>
      </c>
      <c r="R90" s="30">
        <f>T103</f>
        <v>3</v>
      </c>
      <c r="S90" s="31">
        <f>IF(SUM(G90:R90)=0,"",COUNTIF(N87:N92,"3"))</f>
        <v>1</v>
      </c>
      <c r="T90" s="32">
        <f>IF(SUM(H90:S90)=0,"",COUNTIF(M87:M92,"3"))</f>
        <v>4</v>
      </c>
      <c r="U90" s="2">
        <f>IF(SUM(N87:N92)=0,"",SUM(N87:N92))</f>
        <v>6</v>
      </c>
      <c r="V90" s="3">
        <f>IF(SUM(M87:M92)=0,"",SUM(M87:M92))</f>
        <v>12</v>
      </c>
      <c r="W90" s="256">
        <v>10</v>
      </c>
      <c r="X90" s="4">
        <f>+V96+V98+U103+U106+V108</f>
        <v>149</v>
      </c>
      <c r="Y90" s="4">
        <f>+U96+U98+V103+V106+U108</f>
        <v>187</v>
      </c>
      <c r="Z90" s="5">
        <f t="shared" si="50"/>
        <v>-38</v>
      </c>
    </row>
    <row r="91" spans="2:27" ht="15">
      <c r="B91" s="50">
        <f t="shared" si="49"/>
        <v>11</v>
      </c>
      <c r="C91" s="275">
        <v>5</v>
      </c>
      <c r="D91" s="283" t="s">
        <v>58</v>
      </c>
      <c r="E91" s="282" t="str">
        <f>VLOOKUP(4,$B$8:$F$11,4,FALSE)</f>
        <v>Chau Dinh Huy</v>
      </c>
      <c r="F91" s="195" t="str">
        <f>VLOOKUP(4,$B$8:$F$11,5,FALSE)</f>
        <v>PT Espoo</v>
      </c>
      <c r="G91" s="200">
        <f>+T95</f>
        <v>1</v>
      </c>
      <c r="H91" s="34">
        <f>+S95</f>
        <v>3</v>
      </c>
      <c r="I91" s="33">
        <f>T102</f>
        <v>2</v>
      </c>
      <c r="J91" s="34">
        <f>S102</f>
        <v>3</v>
      </c>
      <c r="K91" s="200">
        <f>T100</f>
        <v>1</v>
      </c>
      <c r="L91" s="34">
        <f>S100</f>
        <v>3</v>
      </c>
      <c r="M91" s="200">
        <f>T106</f>
        <v>3</v>
      </c>
      <c r="N91" s="34">
        <f>S106</f>
        <v>1</v>
      </c>
      <c r="O91" s="204"/>
      <c r="P91" s="37"/>
      <c r="Q91" s="202">
        <f>S109</f>
        <v>1</v>
      </c>
      <c r="R91" s="38">
        <f>T109</f>
        <v>3</v>
      </c>
      <c r="S91" s="39">
        <f>IF(SUM(G91:R91)=0,"",COUNTIF(P87:P92,"3"))</f>
        <v>1</v>
      </c>
      <c r="T91" s="32">
        <f>IF(SUM(H91:S91)=0,"",COUNTIF(O87:O92,"3"))</f>
        <v>4</v>
      </c>
      <c r="U91" s="2">
        <f>IF(SUM(P87:P92)=0,"",SUM(P87:P92))</f>
        <v>8</v>
      </c>
      <c r="V91" s="3">
        <f>IF(SUM(O87:O92)=0,"",SUM(O87:O92))</f>
        <v>13</v>
      </c>
      <c r="W91" s="256">
        <v>11</v>
      </c>
      <c r="X91" s="4">
        <f>+V95+V100+V102+V106+U109</f>
        <v>192</v>
      </c>
      <c r="Y91" s="4">
        <f>+U95+U100+U102+U106+V109</f>
        <v>205</v>
      </c>
      <c r="Z91" s="5">
        <f t="shared" si="50"/>
        <v>-13</v>
      </c>
      <c r="AA91" s="26"/>
    </row>
    <row r="92" spans="2:26" ht="15.75" thickBot="1">
      <c r="B92" s="50">
        <f t="shared" si="49"/>
        <v>9</v>
      </c>
      <c r="C92" s="69">
        <v>6</v>
      </c>
      <c r="D92" s="281" t="s">
        <v>59</v>
      </c>
      <c r="E92" s="197" t="str">
        <f>VLOOKUP(4,$B$42:$F$45,4,FALSE)</f>
        <v>Jarno Lehtonen</v>
      </c>
      <c r="F92" s="196" t="str">
        <f>VLOOKUP(4,$B$42:$F$45,5,FALSE)</f>
        <v>HUT</v>
      </c>
      <c r="G92" s="201">
        <f>T104</f>
        <v>3</v>
      </c>
      <c r="H92" s="144">
        <f>S104</f>
        <v>0</v>
      </c>
      <c r="I92" s="139">
        <f>T99</f>
        <v>0</v>
      </c>
      <c r="J92" s="144">
        <f>S99</f>
        <v>3</v>
      </c>
      <c r="K92" s="201">
        <f>T97</f>
        <v>1</v>
      </c>
      <c r="L92" s="144">
        <f>S97</f>
        <v>3</v>
      </c>
      <c r="M92" s="201">
        <f>T103</f>
        <v>3</v>
      </c>
      <c r="N92" s="144">
        <f>S103</f>
        <v>0</v>
      </c>
      <c r="O92" s="201">
        <f>T109</f>
        <v>3</v>
      </c>
      <c r="P92" s="144">
        <f>S109</f>
        <v>1</v>
      </c>
      <c r="Q92" s="205"/>
      <c r="R92" s="198"/>
      <c r="S92" s="193">
        <f>IF(SUM(G92:R92)=0,"",COUNTIF(R87:R92,"3"))</f>
        <v>3</v>
      </c>
      <c r="T92" s="194">
        <f>IF(SUM(G92:R92)=0,"",COUNTIF(Q87:Q92,"3"))</f>
        <v>2</v>
      </c>
      <c r="U92" s="70">
        <f>IF(SUM(R87:R92)=0,"",SUM(R87:R92))</f>
        <v>10</v>
      </c>
      <c r="V92" s="71">
        <f>IF(SUM(Q87:Q92)=0,"",SUM(Q87:Q92))</f>
        <v>7</v>
      </c>
      <c r="W92" s="257">
        <v>9</v>
      </c>
      <c r="X92" s="4">
        <f>+V97+V99+V103+V104+V109</f>
        <v>162</v>
      </c>
      <c r="Y92" s="4">
        <f>+U97+U99+U103+U104+U109</f>
        <v>141</v>
      </c>
      <c r="Z92" s="5">
        <f t="shared" si="50"/>
        <v>21</v>
      </c>
    </row>
    <row r="93" spans="3:27" ht="15">
      <c r="C93" s="75"/>
      <c r="D93" s="267"/>
      <c r="E93" s="96" t="s">
        <v>67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0"/>
      <c r="X93" s="26"/>
      <c r="Y93" s="7" t="s">
        <v>16</v>
      </c>
      <c r="Z93" s="40">
        <f>SUM(Z87:Z92)</f>
        <v>0</v>
      </c>
      <c r="AA93" s="7" t="str">
        <f>IF(Z93=0,"OK","Virhe")</f>
        <v>OK</v>
      </c>
    </row>
    <row r="94" spans="3:26" ht="15.75" thickBot="1">
      <c r="C94" s="69"/>
      <c r="D94" s="273"/>
      <c r="E94" s="95" t="s">
        <v>17</v>
      </c>
      <c r="F94" s="10"/>
      <c r="G94" s="10"/>
      <c r="H94" s="11"/>
      <c r="I94" s="314" t="s">
        <v>18</v>
      </c>
      <c r="J94" s="315"/>
      <c r="K94" s="316" t="s">
        <v>19</v>
      </c>
      <c r="L94" s="315"/>
      <c r="M94" s="316" t="s">
        <v>20</v>
      </c>
      <c r="N94" s="315"/>
      <c r="O94" s="316" t="s">
        <v>21</v>
      </c>
      <c r="P94" s="317"/>
      <c r="Q94" s="316" t="s">
        <v>22</v>
      </c>
      <c r="R94" s="315"/>
      <c r="S94" s="322" t="s">
        <v>23</v>
      </c>
      <c r="T94" s="323"/>
      <c r="U94" s="324" t="s">
        <v>14</v>
      </c>
      <c r="V94" s="325"/>
      <c r="W94" s="210" t="s">
        <v>15</v>
      </c>
      <c r="X94" s="26"/>
      <c r="Y94" s="26"/>
      <c r="Z94" s="26"/>
    </row>
    <row r="95" spans="3:37" ht="15">
      <c r="C95" s="76" t="s">
        <v>32</v>
      </c>
      <c r="D95" s="268"/>
      <c r="E95" s="108" t="str">
        <f>IF(E87&gt;"",E87,"")</f>
        <v>Tuomas Tiittala</v>
      </c>
      <c r="F95" s="105" t="str">
        <f>IF(E91&gt;"",E91,"")</f>
        <v>Chau Dinh Huy</v>
      </c>
      <c r="G95" s="13"/>
      <c r="H95" s="14"/>
      <c r="I95" s="310">
        <v>8</v>
      </c>
      <c r="J95" s="311"/>
      <c r="K95" s="310">
        <v>-7</v>
      </c>
      <c r="L95" s="311"/>
      <c r="M95" s="312">
        <v>8</v>
      </c>
      <c r="N95" s="311"/>
      <c r="O95" s="310">
        <v>11</v>
      </c>
      <c r="P95" s="311"/>
      <c r="Q95" s="310"/>
      <c r="R95" s="313"/>
      <c r="S95" s="258">
        <f aca="true" t="shared" si="51" ref="S95:S109">IF(COUNT(I95:Q95)=0,"",COUNTIF(I95:Q95,"&gt;=0"))</f>
        <v>3</v>
      </c>
      <c r="T95" s="261">
        <f aca="true" t="shared" si="52" ref="T95:T109">IF(COUNT(I95:Q95)=0,"",(IF(LEFT(I95,1)="-",1,0)+IF(LEFT(K95,1)="-",1,0)+IF(LEFT(M95,1)="-",1,0)+IF(LEFT(O95,1)="-",1,0)+IF(LEFT(Q95,1)="-",1,0)))</f>
        <v>1</v>
      </c>
      <c r="U95" s="214">
        <f>+AB95+AD95+AF95+AH95+AJ95</f>
        <v>42</v>
      </c>
      <c r="V95" s="215">
        <f>+AC95+AE95+AG95+AI95+AK95</f>
        <v>38</v>
      </c>
      <c r="W95" s="216">
        <f aca="true" t="shared" si="53" ref="W95:W109">+U95-V95</f>
        <v>4</v>
      </c>
      <c r="AB95" s="18">
        <f>IF(I95="",0,IF(LEFT(I95,1)="-",ABS(I95),(IF(I95&gt;9,I95+2,11))))</f>
        <v>11</v>
      </c>
      <c r="AC95" s="19">
        <f aca="true" t="shared" si="54" ref="AC95:AC109">IF(I95="",0,IF(LEFT(I95,1)="-",(IF(ABS(I95)&gt;9,(ABS(I95)+2),11)),I95))</f>
        <v>8</v>
      </c>
      <c r="AD95" s="18">
        <f>IF(K95="",0,IF(LEFT(K95,1)="-",ABS(K95),(IF(K95&gt;9,K95+2,11))))</f>
        <v>7</v>
      </c>
      <c r="AE95" s="19">
        <f aca="true" t="shared" si="55" ref="AE95:AE109">IF(K95="",0,IF(LEFT(K95,1)="-",(IF(ABS(K95)&gt;9,(ABS(K95)+2),11)),K95))</f>
        <v>11</v>
      </c>
      <c r="AF95" s="18">
        <f>IF(M95="",0,IF(LEFT(M95,1)="-",ABS(M95),(IF(M95&gt;9,M95+2,11))))</f>
        <v>11</v>
      </c>
      <c r="AG95" s="19">
        <f aca="true" t="shared" si="56" ref="AG95:AG109">IF(M95="",0,IF(LEFT(M95,1)="-",(IF(ABS(M95)&gt;9,(ABS(M95)+2),11)),M95))</f>
        <v>8</v>
      </c>
      <c r="AH95" s="18">
        <f>IF(O95="",0,IF(LEFT(O95,1)="-",ABS(O95),(IF(O95&gt;9,O95+2,11))))</f>
        <v>13</v>
      </c>
      <c r="AI95" s="19">
        <f aca="true" t="shared" si="57" ref="AI95:AI109">IF(O95="",0,IF(LEFT(O95,1)="-",(IF(ABS(O95)&gt;9,(ABS(O95)+2),11)),O95))</f>
        <v>11</v>
      </c>
      <c r="AJ95" s="18">
        <f aca="true" t="shared" si="58" ref="AJ95:AJ109">IF(Q95="",0,IF(LEFT(Q95,1)="-",ABS(Q95),(IF(Q95&gt;9,Q95+2,11))))</f>
        <v>0</v>
      </c>
      <c r="AK95" s="19">
        <f aca="true" t="shared" si="59" ref="AK95:AK109">IF(Q95="",0,IF(LEFT(Q95,1)="-",(IF(ABS(Q95)&gt;9,(ABS(Q95)+2),11)),Q95))</f>
        <v>0</v>
      </c>
    </row>
    <row r="96" spans="3:37" ht="15">
      <c r="C96" s="76" t="s">
        <v>25</v>
      </c>
      <c r="D96" s="268"/>
      <c r="E96" s="109" t="str">
        <f>IF(E88&gt;"",E88,"")</f>
        <v>Olli-Ville Halonen</v>
      </c>
      <c r="F96" s="105" t="str">
        <f>IF(E90&gt;"",E90,"")</f>
        <v>Kari Saarinen</v>
      </c>
      <c r="G96" s="20"/>
      <c r="H96" s="14"/>
      <c r="I96" s="304">
        <v>4</v>
      </c>
      <c r="J96" s="309"/>
      <c r="K96" s="304">
        <v>-9</v>
      </c>
      <c r="L96" s="309"/>
      <c r="M96" s="304">
        <v>8</v>
      </c>
      <c r="N96" s="309"/>
      <c r="O96" s="304">
        <v>7</v>
      </c>
      <c r="P96" s="309"/>
      <c r="Q96" s="304"/>
      <c r="R96" s="305"/>
      <c r="S96" s="259">
        <f t="shared" si="51"/>
        <v>3</v>
      </c>
      <c r="T96" s="262">
        <f t="shared" si="52"/>
        <v>1</v>
      </c>
      <c r="U96" s="217">
        <f aca="true" t="shared" si="60" ref="U96:V109">+AB96+AD96+AF96+AH96+AJ96</f>
        <v>42</v>
      </c>
      <c r="V96" s="41">
        <f t="shared" si="60"/>
        <v>30</v>
      </c>
      <c r="W96" s="186">
        <f t="shared" si="53"/>
        <v>12</v>
      </c>
      <c r="AB96" s="22">
        <f>IF(I96="",0,IF(LEFT(I96,1)="-",ABS(I96),(IF(I96&gt;9,I96+2,11))))</f>
        <v>11</v>
      </c>
      <c r="AC96" s="23">
        <f t="shared" si="54"/>
        <v>4</v>
      </c>
      <c r="AD96" s="22">
        <f>IF(K96="",0,IF(LEFT(K96,1)="-",ABS(K96),(IF(K96&gt;9,K96+2,11))))</f>
        <v>9</v>
      </c>
      <c r="AE96" s="23">
        <f t="shared" si="55"/>
        <v>11</v>
      </c>
      <c r="AF96" s="22">
        <f>IF(M96="",0,IF(LEFT(M96,1)="-",ABS(M96),(IF(M96&gt;9,M96+2,11))))</f>
        <v>11</v>
      </c>
      <c r="AG96" s="23">
        <f t="shared" si="56"/>
        <v>8</v>
      </c>
      <c r="AH96" s="22">
        <f>IF(O96="",0,IF(LEFT(O96,1)="-",ABS(O96),(IF(O96&gt;9,O96+2,11))))</f>
        <v>11</v>
      </c>
      <c r="AI96" s="23">
        <f t="shared" si="57"/>
        <v>7</v>
      </c>
      <c r="AJ96" s="22">
        <f t="shared" si="58"/>
        <v>0</v>
      </c>
      <c r="AK96" s="23">
        <f t="shared" si="59"/>
        <v>0</v>
      </c>
    </row>
    <row r="97" spans="3:37" ht="15.75" thickBot="1">
      <c r="C97" s="83" t="s">
        <v>33</v>
      </c>
      <c r="D97" s="269"/>
      <c r="E97" s="111" t="str">
        <f>IF(E89&gt;"",E89,"")</f>
        <v>Matti Lappalainen</v>
      </c>
      <c r="F97" s="107" t="str">
        <f>IF(E92&gt;"",E92,"")</f>
        <v>Jarno Lehtonen</v>
      </c>
      <c r="G97" s="10"/>
      <c r="H97" s="42"/>
      <c r="I97" s="306">
        <v>8</v>
      </c>
      <c r="J97" s="307"/>
      <c r="K97" s="306">
        <v>7</v>
      </c>
      <c r="L97" s="307"/>
      <c r="M97" s="306">
        <v>-1</v>
      </c>
      <c r="N97" s="307"/>
      <c r="O97" s="306">
        <v>6</v>
      </c>
      <c r="P97" s="307"/>
      <c r="Q97" s="306"/>
      <c r="R97" s="308"/>
      <c r="S97" s="260">
        <f t="shared" si="51"/>
        <v>3</v>
      </c>
      <c r="T97" s="263">
        <f t="shared" si="52"/>
        <v>1</v>
      </c>
      <c r="U97" s="218">
        <f t="shared" si="60"/>
        <v>34</v>
      </c>
      <c r="V97" s="219">
        <f t="shared" si="60"/>
        <v>32</v>
      </c>
      <c r="W97" s="220">
        <f t="shared" si="53"/>
        <v>2</v>
      </c>
      <c r="AB97" s="22">
        <f aca="true" t="shared" si="61" ref="AB97:AB109">IF(I97="",0,IF(LEFT(I97,1)="-",ABS(I97),(IF(I97&gt;9,I97+2,11))))</f>
        <v>11</v>
      </c>
      <c r="AC97" s="23">
        <f t="shared" si="54"/>
        <v>8</v>
      </c>
      <c r="AD97" s="22">
        <f aca="true" t="shared" si="62" ref="AD97:AD109">IF(K97="",0,IF(LEFT(K97,1)="-",ABS(K97),(IF(K97&gt;9,K97+2,11))))</f>
        <v>11</v>
      </c>
      <c r="AE97" s="23">
        <f t="shared" si="55"/>
        <v>7</v>
      </c>
      <c r="AF97" s="22">
        <f aca="true" t="shared" si="63" ref="AF97:AF109">IF(M97="",0,IF(LEFT(M97,1)="-",ABS(M97),(IF(M97&gt;9,M97+2,11))))</f>
        <v>1</v>
      </c>
      <c r="AG97" s="23">
        <f t="shared" si="56"/>
        <v>11</v>
      </c>
      <c r="AH97" s="22">
        <f aca="true" t="shared" si="64" ref="AH97:AH109">IF(O97="",0,IF(LEFT(O97,1)="-",ABS(O97),(IF(O97&gt;9,O97+2,11))))</f>
        <v>11</v>
      </c>
      <c r="AI97" s="23">
        <f t="shared" si="57"/>
        <v>6</v>
      </c>
      <c r="AJ97" s="22">
        <f t="shared" si="58"/>
        <v>0</v>
      </c>
      <c r="AK97" s="23">
        <f t="shared" si="59"/>
        <v>0</v>
      </c>
    </row>
    <row r="98" spans="3:37" ht="15">
      <c r="C98" s="76" t="s">
        <v>26</v>
      </c>
      <c r="D98" s="268"/>
      <c r="E98" s="109" t="str">
        <f>IF(E87&gt;"",E87,"")</f>
        <v>Tuomas Tiittala</v>
      </c>
      <c r="F98" s="105" t="str">
        <f>IF(E90&gt;"",E90,"")</f>
        <v>Kari Saarinen</v>
      </c>
      <c r="G98" s="13"/>
      <c r="H98" s="14"/>
      <c r="I98" s="299">
        <v>-6</v>
      </c>
      <c r="J98" s="300"/>
      <c r="K98" s="299">
        <v>-11</v>
      </c>
      <c r="L98" s="300"/>
      <c r="M98" s="299">
        <v>-7</v>
      </c>
      <c r="N98" s="300"/>
      <c r="O98" s="299"/>
      <c r="P98" s="300"/>
      <c r="Q98" s="299"/>
      <c r="R98" s="301"/>
      <c r="S98" s="258">
        <f t="shared" si="51"/>
        <v>0</v>
      </c>
      <c r="T98" s="261">
        <f t="shared" si="52"/>
        <v>3</v>
      </c>
      <c r="U98" s="211">
        <f t="shared" si="60"/>
        <v>24</v>
      </c>
      <c r="V98" s="212">
        <f t="shared" si="60"/>
        <v>35</v>
      </c>
      <c r="W98" s="213">
        <f t="shared" si="53"/>
        <v>-11</v>
      </c>
      <c r="AB98" s="22">
        <f t="shared" si="61"/>
        <v>6</v>
      </c>
      <c r="AC98" s="23">
        <f t="shared" si="54"/>
        <v>11</v>
      </c>
      <c r="AD98" s="22">
        <f t="shared" si="62"/>
        <v>11</v>
      </c>
      <c r="AE98" s="23">
        <f t="shared" si="55"/>
        <v>13</v>
      </c>
      <c r="AF98" s="22">
        <f t="shared" si="63"/>
        <v>7</v>
      </c>
      <c r="AG98" s="23">
        <f t="shared" si="56"/>
        <v>11</v>
      </c>
      <c r="AH98" s="22">
        <f t="shared" si="64"/>
        <v>0</v>
      </c>
      <c r="AI98" s="23">
        <f t="shared" si="57"/>
        <v>0</v>
      </c>
      <c r="AJ98" s="22">
        <f t="shared" si="58"/>
        <v>0</v>
      </c>
      <c r="AK98" s="23">
        <f t="shared" si="59"/>
        <v>0</v>
      </c>
    </row>
    <row r="99" spans="3:37" ht="15">
      <c r="C99" s="76" t="s">
        <v>34</v>
      </c>
      <c r="D99" s="268"/>
      <c r="E99" s="109" t="str">
        <f>IF(E88&gt;"",E88,"")</f>
        <v>Olli-Ville Halonen</v>
      </c>
      <c r="F99" s="105" t="str">
        <f>IF(E92&gt;"",E92,"")</f>
        <v>Jarno Lehtonen</v>
      </c>
      <c r="G99" s="20"/>
      <c r="H99" s="14"/>
      <c r="I99" s="302">
        <v>4</v>
      </c>
      <c r="J99" s="303"/>
      <c r="K99" s="302">
        <v>11</v>
      </c>
      <c r="L99" s="303"/>
      <c r="M99" s="302">
        <v>10</v>
      </c>
      <c r="N99" s="303"/>
      <c r="O99" s="292"/>
      <c r="P99" s="298"/>
      <c r="Q99" s="292"/>
      <c r="R99" s="293"/>
      <c r="S99" s="259">
        <f t="shared" si="51"/>
        <v>3</v>
      </c>
      <c r="T99" s="262">
        <f t="shared" si="52"/>
        <v>0</v>
      </c>
      <c r="U99" s="47">
        <f t="shared" si="60"/>
        <v>36</v>
      </c>
      <c r="V99" s="41">
        <f t="shared" si="60"/>
        <v>25</v>
      </c>
      <c r="W99" s="186">
        <f t="shared" si="53"/>
        <v>11</v>
      </c>
      <c r="AB99" s="22">
        <f t="shared" si="61"/>
        <v>11</v>
      </c>
      <c r="AC99" s="23">
        <f t="shared" si="54"/>
        <v>4</v>
      </c>
      <c r="AD99" s="22">
        <f t="shared" si="62"/>
        <v>13</v>
      </c>
      <c r="AE99" s="23">
        <f t="shared" si="55"/>
        <v>11</v>
      </c>
      <c r="AF99" s="22">
        <f t="shared" si="63"/>
        <v>12</v>
      </c>
      <c r="AG99" s="23">
        <f t="shared" si="56"/>
        <v>10</v>
      </c>
      <c r="AH99" s="22">
        <f t="shared" si="64"/>
        <v>0</v>
      </c>
      <c r="AI99" s="23">
        <f t="shared" si="57"/>
        <v>0</v>
      </c>
      <c r="AJ99" s="22">
        <f t="shared" si="58"/>
        <v>0</v>
      </c>
      <c r="AK99" s="23">
        <f t="shared" si="59"/>
        <v>0</v>
      </c>
    </row>
    <row r="100" spans="3:37" ht="15.75" thickBot="1">
      <c r="C100" s="83" t="s">
        <v>35</v>
      </c>
      <c r="D100" s="269"/>
      <c r="E100" s="111" t="str">
        <f>IF(E89&gt;"",E89,"")</f>
        <v>Matti Lappalainen</v>
      </c>
      <c r="F100" s="107" t="str">
        <f>IF(E91&gt;"",E91,"")</f>
        <v>Chau Dinh Huy</v>
      </c>
      <c r="G100" s="10"/>
      <c r="H100" s="42"/>
      <c r="I100" s="294">
        <v>-7</v>
      </c>
      <c r="J100" s="295"/>
      <c r="K100" s="294">
        <v>8</v>
      </c>
      <c r="L100" s="295"/>
      <c r="M100" s="294">
        <v>9</v>
      </c>
      <c r="N100" s="295"/>
      <c r="O100" s="294">
        <v>5</v>
      </c>
      <c r="P100" s="295"/>
      <c r="Q100" s="294"/>
      <c r="R100" s="296"/>
      <c r="S100" s="260">
        <f t="shared" si="51"/>
        <v>3</v>
      </c>
      <c r="T100" s="263">
        <f t="shared" si="52"/>
        <v>1</v>
      </c>
      <c r="U100" s="221">
        <f t="shared" si="60"/>
        <v>40</v>
      </c>
      <c r="V100" s="222">
        <f t="shared" si="60"/>
        <v>33</v>
      </c>
      <c r="W100" s="223">
        <f t="shared" si="53"/>
        <v>7</v>
      </c>
      <c r="AB100" s="24">
        <f t="shared" si="61"/>
        <v>7</v>
      </c>
      <c r="AC100" s="25">
        <f t="shared" si="54"/>
        <v>11</v>
      </c>
      <c r="AD100" s="24">
        <f t="shared" si="62"/>
        <v>11</v>
      </c>
      <c r="AE100" s="25">
        <f t="shared" si="55"/>
        <v>8</v>
      </c>
      <c r="AF100" s="24">
        <f t="shared" si="63"/>
        <v>11</v>
      </c>
      <c r="AG100" s="25">
        <f t="shared" si="56"/>
        <v>9</v>
      </c>
      <c r="AH100" s="24">
        <f t="shared" si="64"/>
        <v>11</v>
      </c>
      <c r="AI100" s="25">
        <f t="shared" si="57"/>
        <v>5</v>
      </c>
      <c r="AJ100" s="24">
        <f t="shared" si="58"/>
        <v>0</v>
      </c>
      <c r="AK100" s="25">
        <f t="shared" si="59"/>
        <v>0</v>
      </c>
    </row>
    <row r="101" spans="3:37" ht="15">
      <c r="C101" s="76" t="s">
        <v>24</v>
      </c>
      <c r="D101" s="268"/>
      <c r="E101" s="109" t="str">
        <f>IF(E87&gt;"",E87,"")</f>
        <v>Tuomas Tiittala</v>
      </c>
      <c r="F101" s="105" t="str">
        <f>IF(E89&gt;"",E89,"")</f>
        <v>Matti Lappalainen</v>
      </c>
      <c r="G101" s="13"/>
      <c r="H101" s="14"/>
      <c r="I101" s="299">
        <v>-4</v>
      </c>
      <c r="J101" s="300"/>
      <c r="K101" s="299">
        <v>-9</v>
      </c>
      <c r="L101" s="300"/>
      <c r="M101" s="299">
        <v>-10</v>
      </c>
      <c r="N101" s="300"/>
      <c r="O101" s="299"/>
      <c r="P101" s="300"/>
      <c r="Q101" s="299"/>
      <c r="R101" s="301"/>
      <c r="S101" s="258">
        <f t="shared" si="51"/>
        <v>0</v>
      </c>
      <c r="T101" s="261">
        <f t="shared" si="52"/>
        <v>3</v>
      </c>
      <c r="U101" s="214">
        <f t="shared" si="60"/>
        <v>23</v>
      </c>
      <c r="V101" s="215">
        <f t="shared" si="60"/>
        <v>34</v>
      </c>
      <c r="W101" s="216">
        <f t="shared" si="53"/>
        <v>-11</v>
      </c>
      <c r="AB101" s="18">
        <f t="shared" si="61"/>
        <v>4</v>
      </c>
      <c r="AC101" s="19">
        <f t="shared" si="54"/>
        <v>11</v>
      </c>
      <c r="AD101" s="18">
        <f t="shared" si="62"/>
        <v>9</v>
      </c>
      <c r="AE101" s="19">
        <f t="shared" si="55"/>
        <v>11</v>
      </c>
      <c r="AF101" s="18">
        <f t="shared" si="63"/>
        <v>10</v>
      </c>
      <c r="AG101" s="19">
        <f t="shared" si="56"/>
        <v>12</v>
      </c>
      <c r="AH101" s="18">
        <f t="shared" si="64"/>
        <v>0</v>
      </c>
      <c r="AI101" s="19">
        <f t="shared" si="57"/>
        <v>0</v>
      </c>
      <c r="AJ101" s="18">
        <f t="shared" si="58"/>
        <v>0</v>
      </c>
      <c r="AK101" s="19">
        <f t="shared" si="59"/>
        <v>0</v>
      </c>
    </row>
    <row r="102" spans="3:37" ht="15">
      <c r="C102" s="76" t="s">
        <v>36</v>
      </c>
      <c r="D102" s="268"/>
      <c r="E102" s="109" t="str">
        <f>IF(E88&gt;"",E88,"")</f>
        <v>Olli-Ville Halonen</v>
      </c>
      <c r="F102" s="105" t="str">
        <f>IF(E91&gt;"",E91,"")</f>
        <v>Chau Dinh Huy</v>
      </c>
      <c r="G102" s="20"/>
      <c r="H102" s="14"/>
      <c r="I102" s="302">
        <v>-8</v>
      </c>
      <c r="J102" s="303"/>
      <c r="K102" s="302">
        <v>7</v>
      </c>
      <c r="L102" s="303"/>
      <c r="M102" s="302">
        <v>-6</v>
      </c>
      <c r="N102" s="303"/>
      <c r="O102" s="292">
        <v>2</v>
      </c>
      <c r="P102" s="298"/>
      <c r="Q102" s="292">
        <v>10</v>
      </c>
      <c r="R102" s="293"/>
      <c r="S102" s="259">
        <f t="shared" si="51"/>
        <v>3</v>
      </c>
      <c r="T102" s="262">
        <f t="shared" si="52"/>
        <v>2</v>
      </c>
      <c r="U102" s="217">
        <f t="shared" si="60"/>
        <v>48</v>
      </c>
      <c r="V102" s="41">
        <f t="shared" si="60"/>
        <v>41</v>
      </c>
      <c r="W102" s="186">
        <f t="shared" si="53"/>
        <v>7</v>
      </c>
      <c r="AB102" s="22">
        <f t="shared" si="61"/>
        <v>8</v>
      </c>
      <c r="AC102" s="23">
        <f t="shared" si="54"/>
        <v>11</v>
      </c>
      <c r="AD102" s="22">
        <f t="shared" si="62"/>
        <v>11</v>
      </c>
      <c r="AE102" s="23">
        <f t="shared" si="55"/>
        <v>7</v>
      </c>
      <c r="AF102" s="22">
        <f t="shared" si="63"/>
        <v>6</v>
      </c>
      <c r="AG102" s="23">
        <f t="shared" si="56"/>
        <v>11</v>
      </c>
      <c r="AH102" s="22">
        <f t="shared" si="64"/>
        <v>11</v>
      </c>
      <c r="AI102" s="23">
        <f t="shared" si="57"/>
        <v>2</v>
      </c>
      <c r="AJ102" s="22">
        <f t="shared" si="58"/>
        <v>12</v>
      </c>
      <c r="AK102" s="23">
        <f t="shared" si="59"/>
        <v>10</v>
      </c>
    </row>
    <row r="103" spans="3:37" ht="15.75" thickBot="1">
      <c r="C103" s="83" t="s">
        <v>37</v>
      </c>
      <c r="D103" s="269"/>
      <c r="E103" s="111" t="str">
        <f>IF(E90&gt;"",E90,"")</f>
        <v>Kari Saarinen</v>
      </c>
      <c r="F103" s="107" t="str">
        <f>IF(E92&gt;"",E92,"")</f>
        <v>Jarno Lehtonen</v>
      </c>
      <c r="G103" s="10"/>
      <c r="H103" s="42"/>
      <c r="I103" s="294">
        <v>-3</v>
      </c>
      <c r="J103" s="295"/>
      <c r="K103" s="294">
        <v>-8</v>
      </c>
      <c r="L103" s="295"/>
      <c r="M103" s="294">
        <v>-7</v>
      </c>
      <c r="N103" s="295"/>
      <c r="O103" s="294"/>
      <c r="P103" s="295"/>
      <c r="Q103" s="294"/>
      <c r="R103" s="296"/>
      <c r="S103" s="260">
        <f t="shared" si="51"/>
        <v>0</v>
      </c>
      <c r="T103" s="263">
        <f t="shared" si="52"/>
        <v>3</v>
      </c>
      <c r="U103" s="218">
        <f t="shared" si="60"/>
        <v>18</v>
      </c>
      <c r="V103" s="219">
        <f t="shared" si="60"/>
        <v>33</v>
      </c>
      <c r="W103" s="220">
        <f t="shared" si="53"/>
        <v>-15</v>
      </c>
      <c r="AA103" s="26"/>
      <c r="AB103" s="22">
        <f t="shared" si="61"/>
        <v>3</v>
      </c>
      <c r="AC103" s="23">
        <f t="shared" si="54"/>
        <v>11</v>
      </c>
      <c r="AD103" s="22">
        <f t="shared" si="62"/>
        <v>8</v>
      </c>
      <c r="AE103" s="23">
        <f t="shared" si="55"/>
        <v>11</v>
      </c>
      <c r="AF103" s="22">
        <f t="shared" si="63"/>
        <v>7</v>
      </c>
      <c r="AG103" s="23">
        <f t="shared" si="56"/>
        <v>11</v>
      </c>
      <c r="AH103" s="22">
        <f t="shared" si="64"/>
        <v>0</v>
      </c>
      <c r="AI103" s="23">
        <f t="shared" si="57"/>
        <v>0</v>
      </c>
      <c r="AJ103" s="22">
        <f t="shared" si="58"/>
        <v>0</v>
      </c>
      <c r="AK103" s="23">
        <f t="shared" si="59"/>
        <v>0</v>
      </c>
    </row>
    <row r="104" spans="3:37" ht="15">
      <c r="C104" s="76" t="s">
        <v>38</v>
      </c>
      <c r="D104" s="268"/>
      <c r="E104" s="109" t="str">
        <f>IF(E87&gt;"",E87,"")</f>
        <v>Tuomas Tiittala</v>
      </c>
      <c r="F104" s="105" t="str">
        <f>IF(E92&gt;"",E92,"")</f>
        <v>Jarno Lehtonen</v>
      </c>
      <c r="G104" s="13"/>
      <c r="H104" s="14"/>
      <c r="I104" s="299">
        <v>-8</v>
      </c>
      <c r="J104" s="300"/>
      <c r="K104" s="299">
        <v>-8</v>
      </c>
      <c r="L104" s="300"/>
      <c r="M104" s="299">
        <v>-3</v>
      </c>
      <c r="N104" s="300"/>
      <c r="O104" s="299"/>
      <c r="P104" s="300"/>
      <c r="Q104" s="299"/>
      <c r="R104" s="301"/>
      <c r="S104" s="258">
        <f t="shared" si="51"/>
        <v>0</v>
      </c>
      <c r="T104" s="261">
        <f t="shared" si="52"/>
        <v>3</v>
      </c>
      <c r="U104" s="211">
        <f t="shared" si="60"/>
        <v>19</v>
      </c>
      <c r="V104" s="212">
        <f t="shared" si="60"/>
        <v>33</v>
      </c>
      <c r="W104" s="213">
        <f t="shared" si="53"/>
        <v>-14</v>
      </c>
      <c r="AA104" s="26"/>
      <c r="AB104" s="22">
        <f t="shared" si="61"/>
        <v>8</v>
      </c>
      <c r="AC104" s="23">
        <f t="shared" si="54"/>
        <v>11</v>
      </c>
      <c r="AD104" s="22">
        <f t="shared" si="62"/>
        <v>8</v>
      </c>
      <c r="AE104" s="23">
        <f t="shared" si="55"/>
        <v>11</v>
      </c>
      <c r="AF104" s="22">
        <f t="shared" si="63"/>
        <v>3</v>
      </c>
      <c r="AG104" s="23">
        <f t="shared" si="56"/>
        <v>11</v>
      </c>
      <c r="AH104" s="22">
        <f t="shared" si="64"/>
        <v>0</v>
      </c>
      <c r="AI104" s="23">
        <f t="shared" si="57"/>
        <v>0</v>
      </c>
      <c r="AJ104" s="22">
        <f t="shared" si="58"/>
        <v>0</v>
      </c>
      <c r="AK104" s="23">
        <f t="shared" si="59"/>
        <v>0</v>
      </c>
    </row>
    <row r="105" spans="3:37" ht="15">
      <c r="C105" s="76" t="s">
        <v>27</v>
      </c>
      <c r="D105" s="268"/>
      <c r="E105" s="109" t="str">
        <f>IF(E88&gt;"",E88,"")</f>
        <v>Olli-Ville Halonen</v>
      </c>
      <c r="F105" s="105" t="str">
        <f>IF(E89&gt;"",E89,"")</f>
        <v>Matti Lappalainen</v>
      </c>
      <c r="G105" s="20"/>
      <c r="H105" s="14"/>
      <c r="I105" s="297">
        <v>-5</v>
      </c>
      <c r="J105" s="298"/>
      <c r="K105" s="297">
        <v>10</v>
      </c>
      <c r="L105" s="298"/>
      <c r="M105" s="292">
        <v>9</v>
      </c>
      <c r="N105" s="298"/>
      <c r="O105" s="292">
        <v>9</v>
      </c>
      <c r="P105" s="298"/>
      <c r="Q105" s="292"/>
      <c r="R105" s="293"/>
      <c r="S105" s="259">
        <f t="shared" si="51"/>
        <v>3</v>
      </c>
      <c r="T105" s="262">
        <f t="shared" si="52"/>
        <v>1</v>
      </c>
      <c r="U105" s="47">
        <f t="shared" si="60"/>
        <v>39</v>
      </c>
      <c r="V105" s="41">
        <f t="shared" si="60"/>
        <v>39</v>
      </c>
      <c r="W105" s="186">
        <f t="shared" si="53"/>
        <v>0</v>
      </c>
      <c r="AA105" s="26"/>
      <c r="AB105" s="22">
        <f t="shared" si="61"/>
        <v>5</v>
      </c>
      <c r="AC105" s="23">
        <f t="shared" si="54"/>
        <v>11</v>
      </c>
      <c r="AD105" s="22">
        <f t="shared" si="62"/>
        <v>12</v>
      </c>
      <c r="AE105" s="23">
        <f t="shared" si="55"/>
        <v>10</v>
      </c>
      <c r="AF105" s="22">
        <f t="shared" si="63"/>
        <v>11</v>
      </c>
      <c r="AG105" s="23">
        <f t="shared" si="56"/>
        <v>9</v>
      </c>
      <c r="AH105" s="22">
        <f t="shared" si="64"/>
        <v>11</v>
      </c>
      <c r="AI105" s="23">
        <f t="shared" si="57"/>
        <v>9</v>
      </c>
      <c r="AJ105" s="22">
        <f t="shared" si="58"/>
        <v>0</v>
      </c>
      <c r="AK105" s="23">
        <f t="shared" si="59"/>
        <v>0</v>
      </c>
    </row>
    <row r="106" spans="3:37" ht="15.75" thickBot="1">
      <c r="C106" s="83" t="s">
        <v>39</v>
      </c>
      <c r="D106" s="269"/>
      <c r="E106" s="111" t="str">
        <f>IF(E90&gt;"",E90,"")</f>
        <v>Kari Saarinen</v>
      </c>
      <c r="F106" s="107" t="str">
        <f>IF(E91&gt;"",E91,"")</f>
        <v>Chau Dinh Huy</v>
      </c>
      <c r="G106" s="10"/>
      <c r="H106" s="42"/>
      <c r="I106" s="294">
        <v>12</v>
      </c>
      <c r="J106" s="295"/>
      <c r="K106" s="294">
        <v>-6</v>
      </c>
      <c r="L106" s="295"/>
      <c r="M106" s="294">
        <v>-6</v>
      </c>
      <c r="N106" s="295"/>
      <c r="O106" s="294">
        <v>-10</v>
      </c>
      <c r="P106" s="295"/>
      <c r="Q106" s="294"/>
      <c r="R106" s="296"/>
      <c r="S106" s="260">
        <f t="shared" si="51"/>
        <v>1</v>
      </c>
      <c r="T106" s="263">
        <f t="shared" si="52"/>
        <v>3</v>
      </c>
      <c r="U106" s="221">
        <f t="shared" si="60"/>
        <v>36</v>
      </c>
      <c r="V106" s="222">
        <f t="shared" si="60"/>
        <v>46</v>
      </c>
      <c r="W106" s="223">
        <f t="shared" si="53"/>
        <v>-10</v>
      </c>
      <c r="AA106" s="26"/>
      <c r="AB106" s="24">
        <f t="shared" si="61"/>
        <v>14</v>
      </c>
      <c r="AC106" s="25">
        <f t="shared" si="54"/>
        <v>12</v>
      </c>
      <c r="AD106" s="24">
        <f t="shared" si="62"/>
        <v>6</v>
      </c>
      <c r="AE106" s="25">
        <f t="shared" si="55"/>
        <v>11</v>
      </c>
      <c r="AF106" s="24">
        <f t="shared" si="63"/>
        <v>6</v>
      </c>
      <c r="AG106" s="25">
        <f t="shared" si="56"/>
        <v>11</v>
      </c>
      <c r="AH106" s="24">
        <f t="shared" si="64"/>
        <v>10</v>
      </c>
      <c r="AI106" s="25">
        <f t="shared" si="57"/>
        <v>12</v>
      </c>
      <c r="AJ106" s="24">
        <f t="shared" si="58"/>
        <v>0</v>
      </c>
      <c r="AK106" s="25">
        <f t="shared" si="59"/>
        <v>0</v>
      </c>
    </row>
    <row r="107" spans="3:37" ht="15">
      <c r="C107" s="76" t="s">
        <v>28</v>
      </c>
      <c r="D107" s="268"/>
      <c r="E107" s="109" t="str">
        <f>IF(E87&gt;"",E87,"")</f>
        <v>Tuomas Tiittala</v>
      </c>
      <c r="F107" s="105" t="str">
        <f>IF(E88&gt;"",E88,"")</f>
        <v>Olli-Ville Halonen</v>
      </c>
      <c r="G107" s="13"/>
      <c r="H107" s="14"/>
      <c r="I107" s="299">
        <v>9</v>
      </c>
      <c r="J107" s="300"/>
      <c r="K107" s="299">
        <v>-7</v>
      </c>
      <c r="L107" s="300"/>
      <c r="M107" s="299">
        <v>-3</v>
      </c>
      <c r="N107" s="300"/>
      <c r="O107" s="299">
        <v>-6</v>
      </c>
      <c r="P107" s="300"/>
      <c r="Q107" s="299"/>
      <c r="R107" s="301"/>
      <c r="S107" s="258">
        <f t="shared" si="51"/>
        <v>1</v>
      </c>
      <c r="T107" s="261">
        <f t="shared" si="52"/>
        <v>3</v>
      </c>
      <c r="U107" s="214">
        <f t="shared" si="60"/>
        <v>27</v>
      </c>
      <c r="V107" s="215">
        <f t="shared" si="60"/>
        <v>42</v>
      </c>
      <c r="W107" s="216">
        <f t="shared" si="53"/>
        <v>-15</v>
      </c>
      <c r="AA107" s="26"/>
      <c r="AB107" s="18">
        <f t="shared" si="61"/>
        <v>11</v>
      </c>
      <c r="AC107" s="19">
        <f t="shared" si="54"/>
        <v>9</v>
      </c>
      <c r="AD107" s="18">
        <f t="shared" si="62"/>
        <v>7</v>
      </c>
      <c r="AE107" s="19">
        <f t="shared" si="55"/>
        <v>11</v>
      </c>
      <c r="AF107" s="18">
        <f t="shared" si="63"/>
        <v>3</v>
      </c>
      <c r="AG107" s="19">
        <f t="shared" si="56"/>
        <v>11</v>
      </c>
      <c r="AH107" s="18">
        <f t="shared" si="64"/>
        <v>6</v>
      </c>
      <c r="AI107" s="19">
        <f t="shared" si="57"/>
        <v>11</v>
      </c>
      <c r="AJ107" s="18">
        <f t="shared" si="58"/>
        <v>0</v>
      </c>
      <c r="AK107" s="19">
        <f t="shared" si="59"/>
        <v>0</v>
      </c>
    </row>
    <row r="108" spans="3:37" ht="15">
      <c r="C108" s="76" t="s">
        <v>29</v>
      </c>
      <c r="D108" s="268"/>
      <c r="E108" s="109" t="str">
        <f>IF(E89&gt;"",E89,"")</f>
        <v>Matti Lappalainen</v>
      </c>
      <c r="F108" s="105" t="str">
        <f>IF(E90&gt;"",E90,"")</f>
        <v>Kari Saarinen</v>
      </c>
      <c r="G108" s="20"/>
      <c r="H108" s="14"/>
      <c r="I108" s="297">
        <v>11</v>
      </c>
      <c r="J108" s="298"/>
      <c r="K108" s="297">
        <v>4</v>
      </c>
      <c r="L108" s="298"/>
      <c r="M108" s="292">
        <v>-7</v>
      </c>
      <c r="N108" s="298"/>
      <c r="O108" s="292">
        <v>4</v>
      </c>
      <c r="P108" s="298"/>
      <c r="Q108" s="292"/>
      <c r="R108" s="293"/>
      <c r="S108" s="259">
        <f t="shared" si="51"/>
        <v>3</v>
      </c>
      <c r="T108" s="262">
        <f t="shared" si="52"/>
        <v>1</v>
      </c>
      <c r="U108" s="47">
        <f t="shared" si="60"/>
        <v>42</v>
      </c>
      <c r="V108" s="41">
        <f t="shared" si="60"/>
        <v>30</v>
      </c>
      <c r="W108" s="186">
        <f t="shared" si="53"/>
        <v>12</v>
      </c>
      <c r="AA108" s="26"/>
      <c r="AB108" s="22">
        <f t="shared" si="61"/>
        <v>13</v>
      </c>
      <c r="AC108" s="23">
        <f t="shared" si="54"/>
        <v>11</v>
      </c>
      <c r="AD108" s="22">
        <f t="shared" si="62"/>
        <v>11</v>
      </c>
      <c r="AE108" s="23">
        <f t="shared" si="55"/>
        <v>4</v>
      </c>
      <c r="AF108" s="22">
        <f t="shared" si="63"/>
        <v>7</v>
      </c>
      <c r="AG108" s="23">
        <f t="shared" si="56"/>
        <v>11</v>
      </c>
      <c r="AH108" s="22">
        <f t="shared" si="64"/>
        <v>11</v>
      </c>
      <c r="AI108" s="23">
        <f t="shared" si="57"/>
        <v>4</v>
      </c>
      <c r="AJ108" s="22">
        <f t="shared" si="58"/>
        <v>0</v>
      </c>
      <c r="AK108" s="23">
        <f t="shared" si="59"/>
        <v>0</v>
      </c>
    </row>
    <row r="109" spans="3:37" ht="15.75" thickBot="1">
      <c r="C109" s="83" t="s">
        <v>40</v>
      </c>
      <c r="D109" s="269"/>
      <c r="E109" s="116" t="str">
        <f>IF(E91&gt;"",E91,"")</f>
        <v>Chau Dinh Huy</v>
      </c>
      <c r="F109" s="117" t="str">
        <f>IF(E92&gt;"",E92,"")</f>
        <v>Jarno Lehtonen</v>
      </c>
      <c r="G109" s="10"/>
      <c r="H109" s="42"/>
      <c r="I109" s="294">
        <v>-8</v>
      </c>
      <c r="J109" s="295"/>
      <c r="K109" s="294">
        <v>-9</v>
      </c>
      <c r="L109" s="295"/>
      <c r="M109" s="294">
        <v>6</v>
      </c>
      <c r="N109" s="295"/>
      <c r="O109" s="294">
        <v>-6</v>
      </c>
      <c r="P109" s="295"/>
      <c r="Q109" s="294"/>
      <c r="R109" s="296"/>
      <c r="S109" s="260">
        <f t="shared" si="51"/>
        <v>1</v>
      </c>
      <c r="T109" s="263">
        <f t="shared" si="52"/>
        <v>3</v>
      </c>
      <c r="U109" s="187">
        <f t="shared" si="60"/>
        <v>34</v>
      </c>
      <c r="V109" s="188">
        <f t="shared" si="60"/>
        <v>39</v>
      </c>
      <c r="W109" s="189">
        <f t="shared" si="53"/>
        <v>-5</v>
      </c>
      <c r="AA109" s="26"/>
      <c r="AB109" s="22">
        <f t="shared" si="61"/>
        <v>8</v>
      </c>
      <c r="AC109" s="23">
        <f t="shared" si="54"/>
        <v>11</v>
      </c>
      <c r="AD109" s="22">
        <f t="shared" si="62"/>
        <v>9</v>
      </c>
      <c r="AE109" s="23">
        <f t="shared" si="55"/>
        <v>11</v>
      </c>
      <c r="AF109" s="22">
        <f t="shared" si="63"/>
        <v>11</v>
      </c>
      <c r="AG109" s="23">
        <f t="shared" si="56"/>
        <v>6</v>
      </c>
      <c r="AH109" s="22">
        <f t="shared" si="64"/>
        <v>6</v>
      </c>
      <c r="AI109" s="23">
        <f t="shared" si="57"/>
        <v>11</v>
      </c>
      <c r="AJ109" s="22">
        <f t="shared" si="58"/>
        <v>0</v>
      </c>
      <c r="AK109" s="23">
        <f t="shared" si="59"/>
        <v>0</v>
      </c>
    </row>
    <row r="111" ht="15.75">
      <c r="C111" s="229" t="s">
        <v>71</v>
      </c>
    </row>
    <row r="112" spans="3:4" ht="15">
      <c r="C112" s="264"/>
      <c r="D112" s="264"/>
    </row>
    <row r="113" spans="3:6" ht="15">
      <c r="C113">
        <v>1</v>
      </c>
      <c r="E113" s="282" t="str">
        <f>VLOOKUP(1,$B$59:$F$64,4,FALSE)</f>
        <v>Leo Kivelä</v>
      </c>
      <c r="F113" s="282" t="str">
        <f>VLOOKUP(1,$B$59:$F$64,5,FALSE)</f>
        <v>LPTS</v>
      </c>
    </row>
    <row r="114" spans="3:6" ht="15">
      <c r="C114">
        <v>2</v>
      </c>
      <c r="E114" s="282" t="str">
        <f>VLOOKUP(2,$B$59:$F$64,4,FALSE)</f>
        <v>Ilkka Härmälä</v>
      </c>
      <c r="F114" s="282" t="str">
        <f>VLOOKUP(2,$B$59:$F$64,5,FALSE)</f>
        <v>TuKa</v>
      </c>
    </row>
    <row r="115" spans="3:6" ht="15">
      <c r="C115">
        <v>3</v>
      </c>
      <c r="E115" s="282" t="str">
        <f>VLOOKUP(3,$B$59:$F$64,4,FALSE)</f>
        <v>Mika Rauvola</v>
      </c>
      <c r="F115" s="282" t="str">
        <f>VLOOKUP(3,$B$59:$F$64,5,FALSE)</f>
        <v>MBF</v>
      </c>
    </row>
    <row r="116" spans="3:6" ht="15">
      <c r="C116">
        <v>4</v>
      </c>
      <c r="E116" s="282" t="str">
        <f>VLOOKUP(4,$B$59:$F$64,4,FALSE)</f>
        <v>Thomas Lundström</v>
      </c>
      <c r="F116" s="282" t="str">
        <f>VLOOKUP(4,$B$59:$F$64,5,FALSE)</f>
        <v>MBF</v>
      </c>
    </row>
    <row r="117" spans="3:6" ht="15">
      <c r="C117">
        <v>5</v>
      </c>
      <c r="E117" s="282" t="str">
        <f>VLOOKUP(5,$B$59:$F$64,4,FALSE)</f>
        <v>Marko Holopainen</v>
      </c>
      <c r="F117" s="282" t="str">
        <f>VLOOKUP(5,$B$59:$F$64,5,FALSE)</f>
        <v>KuPTS</v>
      </c>
    </row>
    <row r="118" spans="3:6" ht="15">
      <c r="C118">
        <v>6</v>
      </c>
      <c r="E118" s="282" t="str">
        <f>VLOOKUP(6,$B$59:$F$64,4,FALSE)</f>
        <v>Riku Autio</v>
      </c>
      <c r="F118" s="282" t="str">
        <f>VLOOKUP(6,$B$59:$F$64,5,FALSE)</f>
        <v>KoKa</v>
      </c>
    </row>
    <row r="119" spans="3:6" ht="15">
      <c r="C119">
        <v>7</v>
      </c>
      <c r="E119" s="282" t="str">
        <f>VLOOKUP(7,$B$87:$F$92,4,FALSE)</f>
        <v>Olli-Ville Halonen</v>
      </c>
      <c r="F119" s="282" t="str">
        <f>VLOOKUP(7,$B$87:$F$92,5,FALSE)</f>
        <v>KuPTS</v>
      </c>
    </row>
    <row r="120" spans="3:6" ht="15">
      <c r="C120">
        <v>8</v>
      </c>
      <c r="E120" s="282" t="str">
        <f>VLOOKUP(8,$B$87:$F$92,4,FALSE)</f>
        <v>Matti Lappalainen</v>
      </c>
      <c r="F120" s="282" t="str">
        <f>VLOOKUP(8,$B$87:$F$92,5,FALSE)</f>
        <v>HP</v>
      </c>
    </row>
    <row r="121" spans="3:6" ht="15">
      <c r="C121">
        <v>9</v>
      </c>
      <c r="E121" s="282" t="str">
        <f>VLOOKUP(9,$B$87:$F$92,4,FALSE)</f>
        <v>Jarno Lehtonen</v>
      </c>
      <c r="F121" s="282" t="str">
        <f>VLOOKUP(9,$B$87:$F$92,5,FALSE)</f>
        <v>HUT</v>
      </c>
    </row>
    <row r="122" spans="3:6" ht="15">
      <c r="C122">
        <v>10</v>
      </c>
      <c r="E122" s="282" t="str">
        <f>VLOOKUP(10,$B$87:$F$92,4,FALSE)</f>
        <v>Kari Saarinen</v>
      </c>
      <c r="F122" s="282" t="str">
        <f>VLOOKUP(10,$B$87:$F$92,5,FALSE)</f>
        <v>HUT</v>
      </c>
    </row>
    <row r="123" spans="3:6" ht="15">
      <c r="C123">
        <v>11</v>
      </c>
      <c r="E123" s="282" t="str">
        <f>VLOOKUP(11,$B$87:$F$92,4,FALSE)</f>
        <v>Chau Dinh Huy</v>
      </c>
      <c r="F123" s="282" t="str">
        <f>VLOOKUP(11,$B$87:$F$92,5,FALSE)</f>
        <v>PT Espoo</v>
      </c>
    </row>
    <row r="124" spans="3:6" ht="15">
      <c r="C124">
        <v>12</v>
      </c>
      <c r="E124" s="282" t="str">
        <f>VLOOKUP(12,$B$87:$F$92,4,FALSE)</f>
        <v>Tuomas Tiittala</v>
      </c>
      <c r="F124" s="282" t="str">
        <f>VLOOKUP(12,$B$87:$F$92,5,FALSE)</f>
        <v>PT Espoo</v>
      </c>
    </row>
  </sheetData>
  <sheetProtection/>
  <mergeCells count="355">
    <mergeCell ref="M5:P5"/>
    <mergeCell ref="S5:V5"/>
    <mergeCell ref="G6:I6"/>
    <mergeCell ref="J6:L6"/>
    <mergeCell ref="M6:P6"/>
    <mergeCell ref="S6:V6"/>
    <mergeCell ref="G7:H7"/>
    <mergeCell ref="I7:J7"/>
    <mergeCell ref="K7:L7"/>
    <mergeCell ref="M7:N7"/>
    <mergeCell ref="O7:P7"/>
    <mergeCell ref="U7:V7"/>
    <mergeCell ref="W7:X7"/>
    <mergeCell ref="U8:V8"/>
    <mergeCell ref="S7:T7"/>
    <mergeCell ref="U9:V9"/>
    <mergeCell ref="U10:V10"/>
    <mergeCell ref="U11:V11"/>
    <mergeCell ref="I13:J13"/>
    <mergeCell ref="K13:L13"/>
    <mergeCell ref="M13:N13"/>
    <mergeCell ref="O13:P13"/>
    <mergeCell ref="Q13:R13"/>
    <mergeCell ref="S13:T13"/>
    <mergeCell ref="Q14:R14"/>
    <mergeCell ref="I15:J15"/>
    <mergeCell ref="K15:L15"/>
    <mergeCell ref="M15:N15"/>
    <mergeCell ref="O15:P15"/>
    <mergeCell ref="Q15:R15"/>
    <mergeCell ref="I14:J14"/>
    <mergeCell ref="K14:L14"/>
    <mergeCell ref="M14:N14"/>
    <mergeCell ref="O14:P14"/>
    <mergeCell ref="Q16:R16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8:R18"/>
    <mergeCell ref="I19:J19"/>
    <mergeCell ref="K19:L19"/>
    <mergeCell ref="M19:N19"/>
    <mergeCell ref="O19:P19"/>
    <mergeCell ref="Q19:R19"/>
    <mergeCell ref="I18:J18"/>
    <mergeCell ref="K18:L18"/>
    <mergeCell ref="M18:N18"/>
    <mergeCell ref="O18:P18"/>
    <mergeCell ref="M22:P22"/>
    <mergeCell ref="S22:V22"/>
    <mergeCell ref="G23:I23"/>
    <mergeCell ref="J23:L23"/>
    <mergeCell ref="M23:P23"/>
    <mergeCell ref="S23:V23"/>
    <mergeCell ref="G24:H24"/>
    <mergeCell ref="I24:J24"/>
    <mergeCell ref="K24:L24"/>
    <mergeCell ref="M24:N24"/>
    <mergeCell ref="O24:P24"/>
    <mergeCell ref="U24:V24"/>
    <mergeCell ref="W24:X24"/>
    <mergeCell ref="U25:V25"/>
    <mergeCell ref="S24:T24"/>
    <mergeCell ref="U26:V26"/>
    <mergeCell ref="U27:V27"/>
    <mergeCell ref="U28:V28"/>
    <mergeCell ref="I30:J30"/>
    <mergeCell ref="K30:L30"/>
    <mergeCell ref="M30:N30"/>
    <mergeCell ref="O30:P30"/>
    <mergeCell ref="Q30:R30"/>
    <mergeCell ref="S30:T30"/>
    <mergeCell ref="Q31:R31"/>
    <mergeCell ref="I32:J32"/>
    <mergeCell ref="K32:L32"/>
    <mergeCell ref="M32:N32"/>
    <mergeCell ref="O32:P32"/>
    <mergeCell ref="Q32:R32"/>
    <mergeCell ref="I31:J31"/>
    <mergeCell ref="K31:L31"/>
    <mergeCell ref="M31:N31"/>
    <mergeCell ref="O31:P31"/>
    <mergeCell ref="Q33:R33"/>
    <mergeCell ref="I34:J34"/>
    <mergeCell ref="K34:L34"/>
    <mergeCell ref="M34:N34"/>
    <mergeCell ref="O34:P34"/>
    <mergeCell ref="Q34:R34"/>
    <mergeCell ref="I33:J33"/>
    <mergeCell ref="K33:L33"/>
    <mergeCell ref="M33:N33"/>
    <mergeCell ref="O33:P33"/>
    <mergeCell ref="Q35:R35"/>
    <mergeCell ref="I36:J36"/>
    <mergeCell ref="K36:L36"/>
    <mergeCell ref="M36:N36"/>
    <mergeCell ref="O36:P36"/>
    <mergeCell ref="Q36:R36"/>
    <mergeCell ref="I35:J35"/>
    <mergeCell ref="K35:L35"/>
    <mergeCell ref="M35:N35"/>
    <mergeCell ref="O35:P35"/>
    <mergeCell ref="M39:P39"/>
    <mergeCell ref="S39:V39"/>
    <mergeCell ref="G40:I40"/>
    <mergeCell ref="J40:L40"/>
    <mergeCell ref="M40:P40"/>
    <mergeCell ref="S40:V40"/>
    <mergeCell ref="G41:H41"/>
    <mergeCell ref="I41:J41"/>
    <mergeCell ref="K41:L41"/>
    <mergeCell ref="M41:N41"/>
    <mergeCell ref="O41:P41"/>
    <mergeCell ref="U41:V41"/>
    <mergeCell ref="W41:X41"/>
    <mergeCell ref="U42:V42"/>
    <mergeCell ref="U43:V43"/>
    <mergeCell ref="U44:V44"/>
    <mergeCell ref="U45:V45"/>
    <mergeCell ref="I47:J47"/>
    <mergeCell ref="K47:L47"/>
    <mergeCell ref="M47:N47"/>
    <mergeCell ref="O47:P47"/>
    <mergeCell ref="Q47:R47"/>
    <mergeCell ref="S47:T47"/>
    <mergeCell ref="Q48:R48"/>
    <mergeCell ref="I49:J49"/>
    <mergeCell ref="K49:L49"/>
    <mergeCell ref="M49:N49"/>
    <mergeCell ref="O49:P49"/>
    <mergeCell ref="Q49:R49"/>
    <mergeCell ref="I48:J48"/>
    <mergeCell ref="K48:L48"/>
    <mergeCell ref="M48:N48"/>
    <mergeCell ref="O48:P48"/>
    <mergeCell ref="Q50:R50"/>
    <mergeCell ref="I51:J51"/>
    <mergeCell ref="K51:L51"/>
    <mergeCell ref="M51:N51"/>
    <mergeCell ref="O51:P51"/>
    <mergeCell ref="Q51:R51"/>
    <mergeCell ref="I50:J50"/>
    <mergeCell ref="K50:L50"/>
    <mergeCell ref="M50:N50"/>
    <mergeCell ref="O50:P50"/>
    <mergeCell ref="Q52:R52"/>
    <mergeCell ref="I53:J53"/>
    <mergeCell ref="K53:L53"/>
    <mergeCell ref="M53:N53"/>
    <mergeCell ref="O53:P53"/>
    <mergeCell ref="Q53:R53"/>
    <mergeCell ref="I52:J52"/>
    <mergeCell ref="K52:L52"/>
    <mergeCell ref="M52:N52"/>
    <mergeCell ref="O52:P52"/>
    <mergeCell ref="J56:L56"/>
    <mergeCell ref="S56:V56"/>
    <mergeCell ref="G57:I57"/>
    <mergeCell ref="J57:L57"/>
    <mergeCell ref="M57:P57"/>
    <mergeCell ref="Q57:R57"/>
    <mergeCell ref="S57:V57"/>
    <mergeCell ref="S66:T66"/>
    <mergeCell ref="U66:V66"/>
    <mergeCell ref="U58:V58"/>
    <mergeCell ref="X58:Y58"/>
    <mergeCell ref="G58:H58"/>
    <mergeCell ref="I58:J58"/>
    <mergeCell ref="K58:L58"/>
    <mergeCell ref="M58:N58"/>
    <mergeCell ref="Q67:R67"/>
    <mergeCell ref="I66:J66"/>
    <mergeCell ref="K66:L66"/>
    <mergeCell ref="M66:N66"/>
    <mergeCell ref="O66:P66"/>
    <mergeCell ref="O58:P58"/>
    <mergeCell ref="Q58:R58"/>
    <mergeCell ref="Q66:R66"/>
    <mergeCell ref="M68:N68"/>
    <mergeCell ref="O68:P68"/>
    <mergeCell ref="I67:J67"/>
    <mergeCell ref="K67:L67"/>
    <mergeCell ref="M67:N67"/>
    <mergeCell ref="O67:P67"/>
    <mergeCell ref="M70:N70"/>
    <mergeCell ref="O70:P70"/>
    <mergeCell ref="Q68:R68"/>
    <mergeCell ref="I69:J69"/>
    <mergeCell ref="K69:L69"/>
    <mergeCell ref="M69:N69"/>
    <mergeCell ref="O69:P69"/>
    <mergeCell ref="Q69:R69"/>
    <mergeCell ref="I68:J68"/>
    <mergeCell ref="K68:L68"/>
    <mergeCell ref="M72:N72"/>
    <mergeCell ref="O72:P72"/>
    <mergeCell ref="Q70:R70"/>
    <mergeCell ref="I71:J71"/>
    <mergeCell ref="K71:L71"/>
    <mergeCell ref="M71:N71"/>
    <mergeCell ref="O71:P71"/>
    <mergeCell ref="Q71:R71"/>
    <mergeCell ref="I70:J70"/>
    <mergeCell ref="K70:L70"/>
    <mergeCell ref="M74:N74"/>
    <mergeCell ref="O74:P74"/>
    <mergeCell ref="Q72:R72"/>
    <mergeCell ref="I73:J73"/>
    <mergeCell ref="K73:L73"/>
    <mergeCell ref="M73:N73"/>
    <mergeCell ref="O73:P73"/>
    <mergeCell ref="Q73:R73"/>
    <mergeCell ref="I72:J72"/>
    <mergeCell ref="K72:L72"/>
    <mergeCell ref="M76:N76"/>
    <mergeCell ref="O76:P76"/>
    <mergeCell ref="Q74:R74"/>
    <mergeCell ref="I75:J75"/>
    <mergeCell ref="K75:L75"/>
    <mergeCell ref="M75:N75"/>
    <mergeCell ref="O75:P75"/>
    <mergeCell ref="Q75:R75"/>
    <mergeCell ref="I74:J74"/>
    <mergeCell ref="K74:L74"/>
    <mergeCell ref="M78:N78"/>
    <mergeCell ref="O78:P78"/>
    <mergeCell ref="Q76:R76"/>
    <mergeCell ref="I77:J77"/>
    <mergeCell ref="K77:L77"/>
    <mergeCell ref="M77:N77"/>
    <mergeCell ref="O77:P77"/>
    <mergeCell ref="Q77:R77"/>
    <mergeCell ref="I76:J76"/>
    <mergeCell ref="K76:L76"/>
    <mergeCell ref="M80:N80"/>
    <mergeCell ref="O80:P80"/>
    <mergeCell ref="Q78:R78"/>
    <mergeCell ref="I79:J79"/>
    <mergeCell ref="K79:L79"/>
    <mergeCell ref="M79:N79"/>
    <mergeCell ref="O79:P79"/>
    <mergeCell ref="Q79:R79"/>
    <mergeCell ref="I78:J78"/>
    <mergeCell ref="K78:L78"/>
    <mergeCell ref="Q85:R85"/>
    <mergeCell ref="S85:V85"/>
    <mergeCell ref="Q80:R80"/>
    <mergeCell ref="I81:J81"/>
    <mergeCell ref="K81:L81"/>
    <mergeCell ref="M81:N81"/>
    <mergeCell ref="O81:P81"/>
    <mergeCell ref="Q81:R81"/>
    <mergeCell ref="I80:J80"/>
    <mergeCell ref="K80:L80"/>
    <mergeCell ref="X86:Y86"/>
    <mergeCell ref="G86:H86"/>
    <mergeCell ref="I86:J86"/>
    <mergeCell ref="K86:L86"/>
    <mergeCell ref="M86:N86"/>
    <mergeCell ref="J84:L84"/>
    <mergeCell ref="S84:V84"/>
    <mergeCell ref="G85:I85"/>
    <mergeCell ref="J85:L85"/>
    <mergeCell ref="M85:P85"/>
    <mergeCell ref="O86:P86"/>
    <mergeCell ref="Q86:R86"/>
    <mergeCell ref="Q94:R94"/>
    <mergeCell ref="S94:T94"/>
    <mergeCell ref="U94:V94"/>
    <mergeCell ref="U86:V86"/>
    <mergeCell ref="I95:J95"/>
    <mergeCell ref="K95:L95"/>
    <mergeCell ref="M95:N95"/>
    <mergeCell ref="O95:P95"/>
    <mergeCell ref="Q95:R95"/>
    <mergeCell ref="I94:J94"/>
    <mergeCell ref="K94:L94"/>
    <mergeCell ref="M94:N94"/>
    <mergeCell ref="O94:P94"/>
    <mergeCell ref="Q96:R96"/>
    <mergeCell ref="I97:J97"/>
    <mergeCell ref="K97:L97"/>
    <mergeCell ref="M97:N97"/>
    <mergeCell ref="O97:P97"/>
    <mergeCell ref="Q97:R97"/>
    <mergeCell ref="I96:J96"/>
    <mergeCell ref="K96:L96"/>
    <mergeCell ref="M96:N96"/>
    <mergeCell ref="O96:P96"/>
    <mergeCell ref="Q98:R98"/>
    <mergeCell ref="I99:J99"/>
    <mergeCell ref="K99:L99"/>
    <mergeCell ref="M99:N99"/>
    <mergeCell ref="O99:P99"/>
    <mergeCell ref="Q99:R99"/>
    <mergeCell ref="I98:J98"/>
    <mergeCell ref="K98:L98"/>
    <mergeCell ref="M98:N98"/>
    <mergeCell ref="O98:P98"/>
    <mergeCell ref="Q100:R100"/>
    <mergeCell ref="I101:J101"/>
    <mergeCell ref="K101:L101"/>
    <mergeCell ref="M101:N101"/>
    <mergeCell ref="O101:P101"/>
    <mergeCell ref="Q101:R101"/>
    <mergeCell ref="I100:J100"/>
    <mergeCell ref="K100:L100"/>
    <mergeCell ref="M100:N100"/>
    <mergeCell ref="O100:P100"/>
    <mergeCell ref="Q102:R102"/>
    <mergeCell ref="I103:J103"/>
    <mergeCell ref="K103:L103"/>
    <mergeCell ref="M103:N103"/>
    <mergeCell ref="O103:P103"/>
    <mergeCell ref="Q103:R103"/>
    <mergeCell ref="I102:J102"/>
    <mergeCell ref="K102:L102"/>
    <mergeCell ref="M102:N102"/>
    <mergeCell ref="O102:P102"/>
    <mergeCell ref="Q104:R104"/>
    <mergeCell ref="I105:J105"/>
    <mergeCell ref="K105:L105"/>
    <mergeCell ref="M105:N105"/>
    <mergeCell ref="O105:P105"/>
    <mergeCell ref="Q105:R105"/>
    <mergeCell ref="I104:J104"/>
    <mergeCell ref="K104:L104"/>
    <mergeCell ref="M104:N104"/>
    <mergeCell ref="O104:P104"/>
    <mergeCell ref="Q106:R106"/>
    <mergeCell ref="I107:J107"/>
    <mergeCell ref="K107:L107"/>
    <mergeCell ref="M107:N107"/>
    <mergeCell ref="O107:P107"/>
    <mergeCell ref="Q107:R107"/>
    <mergeCell ref="I106:J106"/>
    <mergeCell ref="K106:L106"/>
    <mergeCell ref="M106:N106"/>
    <mergeCell ref="O106:P106"/>
    <mergeCell ref="Q108:R108"/>
    <mergeCell ref="I109:J109"/>
    <mergeCell ref="K109:L109"/>
    <mergeCell ref="M109:N109"/>
    <mergeCell ref="O109:P109"/>
    <mergeCell ref="Q109:R109"/>
    <mergeCell ref="I108:J108"/>
    <mergeCell ref="K108:L108"/>
    <mergeCell ref="M108:N108"/>
    <mergeCell ref="O108:P108"/>
  </mergeCells>
  <printOptions/>
  <pageMargins left="0.6" right="0.42" top="0.78" bottom="0.47" header="0.31" footer="0.33"/>
  <pageSetup fitToHeight="2" horizontalDpi="600" verticalDpi="600" orientation="portrait" paperSize="9" scale="85" r:id="rId2"/>
  <rowBreaks count="2" manualBreakCount="2">
    <brk id="54" min="2" max="25" man="1"/>
    <brk id="110" min="2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Kimmo Arenius</cp:lastModifiedBy>
  <cp:lastPrinted>2011-05-06T06:41:34Z</cp:lastPrinted>
  <dcterms:created xsi:type="dcterms:W3CDTF">2004-10-26T13:39:47Z</dcterms:created>
  <dcterms:modified xsi:type="dcterms:W3CDTF">2011-05-08T18:26:40Z</dcterms:modified>
  <cp:category/>
  <cp:version/>
  <cp:contentType/>
  <cp:contentStatus/>
</cp:coreProperties>
</file>